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0380" windowHeight="5745" activeTab="5"/>
  </bookViews>
  <sheets>
    <sheet name="Amf-2" sheetId="1" r:id="rId1"/>
    <sheet name="1-1" sheetId="2" r:id="rId2"/>
    <sheet name="օբյ" sheetId="3" r:id="rId3"/>
    <sheet name="բաց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<sst xmlns="http://schemas.openxmlformats.org/spreadsheetml/2006/main" count="962" uniqueCount="275">
  <si>
    <t xml:space="preserve">ըստ նորմերի </t>
  </si>
  <si>
    <t xml:space="preserve">գործող գներով </t>
  </si>
  <si>
    <t>Անվանումը</t>
  </si>
  <si>
    <t>Ընդհանուր արժեքը /հազ.դրամ/</t>
  </si>
  <si>
    <t>Նյութերի արժեքը /հազ.դրամ/</t>
  </si>
  <si>
    <t xml:space="preserve">Արժեքը </t>
  </si>
  <si>
    <t xml:space="preserve">Ընդհանուր արժեքը  </t>
  </si>
  <si>
    <t>Աշխատանքի անվանումը</t>
  </si>
  <si>
    <t>Աշխատավարձը</t>
  </si>
  <si>
    <t>Հիմնավորում</t>
  </si>
  <si>
    <t>Մեխանիզմների շահագործման արժեքը</t>
  </si>
  <si>
    <t>Նյութերի ծախսը և արժեքը 1 միավորի</t>
  </si>
  <si>
    <t>Շահույթ  11%</t>
  </si>
  <si>
    <t>Չափման միավոր</t>
  </si>
  <si>
    <t>Չափի միավոր</t>
  </si>
  <si>
    <t>Վերադիր ծախսեր 13.3%</t>
  </si>
  <si>
    <t>Քանակը</t>
  </si>
  <si>
    <t>խողովակ</t>
  </si>
  <si>
    <t>N</t>
  </si>
  <si>
    <t>Մեկ միավորի ընդհանուր արժեքը                                                                (հազ. դրամ)</t>
  </si>
  <si>
    <t>Այդ թվում`</t>
  </si>
  <si>
    <t>Ինֆ.  Տեղ. գլուխ, տող</t>
  </si>
  <si>
    <t>կգ</t>
  </si>
  <si>
    <t>խմ</t>
  </si>
  <si>
    <t>Փոքր ծավալի շին. մոնտաժային աշխատանքների համար նախատեսնվող լրացուցիչ ծախսեր</t>
  </si>
  <si>
    <t>Ընդհանուր շինարարական աշխատանքներ</t>
  </si>
  <si>
    <t>Նախահաշվային արժեքը կազմում է</t>
  </si>
  <si>
    <t>հազ. դրամ</t>
  </si>
  <si>
    <t>էլեկտրոդ</t>
  </si>
  <si>
    <t>ինֆ</t>
  </si>
  <si>
    <t>տ</t>
  </si>
  <si>
    <t>քմ</t>
  </si>
  <si>
    <t>մ</t>
  </si>
  <si>
    <t>հատ</t>
  </si>
  <si>
    <t>հազար դրամ</t>
  </si>
  <si>
    <t xml:space="preserve">Ամփոփ նախահաշվի գումարը կազմում է  </t>
  </si>
  <si>
    <t>Այլ ծախսեր</t>
  </si>
  <si>
    <t>Այդ թվում հետ վերադարձվող գումար</t>
  </si>
  <si>
    <t xml:space="preserve">Գլուխ 8.                 </t>
  </si>
  <si>
    <t>Ընդհանուր նախահաշվային արժեքը /հազ.դրամ/</t>
  </si>
  <si>
    <t>Ընդամենը Գլ. 2-ով</t>
  </si>
  <si>
    <t>Ընդամենը Գլ. 2-8-ով</t>
  </si>
  <si>
    <t>Ընդամենը Գլ. 2-10-ով</t>
  </si>
  <si>
    <t>Ընդամենը Գլ. 2-11-ով</t>
  </si>
  <si>
    <t>Ընդամենը</t>
  </si>
  <si>
    <t xml:space="preserve">Կլիմայական պայմանների ազդեցությունը հաշվի առնող ծախսեր </t>
  </si>
  <si>
    <t>Կազմեց</t>
  </si>
  <si>
    <t>ՀՀ</t>
  </si>
  <si>
    <t>Գլուխ 2.  Հիմնական օբյեկտների շինարարություն</t>
  </si>
  <si>
    <t>ՀՀ կառավարության որոշում N879-Ն 23.06.2011թ. 0.15%</t>
  </si>
  <si>
    <t xml:space="preserve">ՀՀ կառավարության որոշում N879-Ն 23.06.2011թ. </t>
  </si>
  <si>
    <t>Հեղինակային հսկողություն</t>
  </si>
  <si>
    <t>ԱԱՀ</t>
  </si>
  <si>
    <t>Մոնտաժա-յին աշխատանք</t>
  </si>
  <si>
    <t>Նախահաշվային արժեքը /հազ. դրամ/</t>
  </si>
  <si>
    <t>Շինարարական աշխատանքներ</t>
  </si>
  <si>
    <t>Չնախատեսված ծախսեր</t>
  </si>
  <si>
    <t>Գլուխ 11. Տնօրինության պարտավորություններ</t>
  </si>
  <si>
    <t>Տեխնիկական հսկողություն</t>
  </si>
  <si>
    <t>Ա Մ Փ Ո Փ     Ն Ա Խ Ա Հ Ա Շ Ի Վ</t>
  </si>
  <si>
    <t>Օբյեկտի և տեղային նախահաշիվների համարները</t>
  </si>
  <si>
    <t>Գլուխների, օբյեկտների և լոկալ նախահաշիվների ու ծախսերի անվանումը</t>
  </si>
  <si>
    <t>Սարքավորում, հարարանք և գույք</t>
  </si>
  <si>
    <t>Ժամանակավոր շինություններ և կառույցներ</t>
  </si>
  <si>
    <t xml:space="preserve">Գլուխ 9.   Այլ աշխատանքներ և ծախսեր </t>
  </si>
  <si>
    <t xml:space="preserve">Շին մոնտաժային աշխատանքների ավարտից հետո տարածքի մաքրման և գոյացած /ոչ ընթացիկ/ աղբի տեղափոխման աշխատանքների ծախսեր </t>
  </si>
  <si>
    <t>« Հաստատում եմ»</t>
  </si>
  <si>
    <t>գծմ</t>
  </si>
  <si>
    <t>ինֆ.</t>
  </si>
  <si>
    <t>թիթեղ</t>
  </si>
  <si>
    <t>100 քմ</t>
  </si>
  <si>
    <t>կռվածք</t>
  </si>
  <si>
    <t>12-280</t>
  </si>
  <si>
    <t>պտուտակ</t>
  </si>
  <si>
    <t>15-614</t>
  </si>
  <si>
    <t>յուղաներկ</t>
  </si>
  <si>
    <t>օլիֆ</t>
  </si>
  <si>
    <t xml:space="preserve"> քմ</t>
  </si>
  <si>
    <t>12-278</t>
  </si>
  <si>
    <t>ցինկապատ թիթեղ</t>
  </si>
  <si>
    <t>անջատիչ</t>
  </si>
  <si>
    <t>տուփ</t>
  </si>
  <si>
    <t>ՀՀ քաղշին. նախ-ի հրաման N68 կ.12. 21.08.01-- 0,3%</t>
  </si>
  <si>
    <t>ՀՀ քաղշին. նախ-ի հրաման N69 կ.12. 21.08.01 --0.5%</t>
  </si>
  <si>
    <t>Տանիք</t>
  </si>
  <si>
    <t>Ընդամենը Գլ. 2-9-ով</t>
  </si>
  <si>
    <t xml:space="preserve">Գլուխ 10.                 </t>
  </si>
  <si>
    <t>մետաղալար</t>
  </si>
  <si>
    <t>ձագար</t>
  </si>
  <si>
    <t>46-98</t>
  </si>
  <si>
    <t>շուկա</t>
  </si>
  <si>
    <t>8-525-1</t>
  </si>
  <si>
    <t>8-525-2</t>
  </si>
  <si>
    <t>Օբյեկտային նախահաշիվ N 1</t>
  </si>
  <si>
    <t xml:space="preserve">Տ Ե Ղ Ա Յ Ի Ն    Ն Ա Խ Ա Հ Ա Շ Ի Վ  N 1-1   </t>
  </si>
  <si>
    <t>10--70  գ=0.8</t>
  </si>
  <si>
    <t>ՕԲՅԵԿՏԱՅԻՆ ՆԱԽԱՀԱՇԻՎ</t>
  </si>
  <si>
    <t>Օբյեկտային նախահաշվի գումարը կազմում է</t>
  </si>
  <si>
    <t>Նախահաշիվ N</t>
  </si>
  <si>
    <t>Աշխատանքների անվանումը</t>
  </si>
  <si>
    <t>Մոնտաժային աշխատանքներ</t>
  </si>
  <si>
    <t>Սարքավորում</t>
  </si>
  <si>
    <t>Տեղային նախահաշիվ N 1-1</t>
  </si>
  <si>
    <t>Ընդանուր շինարարական աշխատանքներ</t>
  </si>
  <si>
    <t>Կազմեց՝</t>
  </si>
  <si>
    <t>ԲԱՑԱՏՐԱԳԻՐ</t>
  </si>
  <si>
    <t>Նախահաշվային մասը կազմված է համաձայն ՀՀ կառավարության N 897- Ն 23.06.2011թ. որոշման հաստատված գործող գներով շին. աշխատանքների արժեքի հաշվարկման կարգի։</t>
  </si>
  <si>
    <t>Նախահաշվային արժեքները որոշելիս, հաշվի են առնվել հետևյալ գործակիցները.</t>
  </si>
  <si>
    <t xml:space="preserve"> 1. Շինարարական նյութերի արժեքին տրվել է</t>
  </si>
  <si>
    <t xml:space="preserve"> ա    տրանսպորտային ծախսերը հաշվի առնող գործակից </t>
  </si>
  <si>
    <t xml:space="preserve"> բ     այլ նյութերի չափը հաշվի առնող գործակից </t>
  </si>
  <si>
    <t xml:space="preserve"> գ   պահեստային, փաթեթավորման ծախսերը հաշվի առնող գործակից</t>
  </si>
  <si>
    <t xml:space="preserve"> 2   աշխատավարձի հաշվարկման գործակից</t>
  </si>
  <si>
    <t xml:space="preserve"> 3   մեքենաների ու մեխանիզմների շահագործման ծախսերի գործակից</t>
  </si>
  <si>
    <t xml:space="preserve"> 4    վերադիր ծախսեր</t>
  </si>
  <si>
    <t xml:space="preserve"> 5      շահույթ</t>
  </si>
  <si>
    <t xml:space="preserve"> 6      Ժամանակավոր շենքերի և կառույցների գործակից</t>
  </si>
  <si>
    <t xml:space="preserve"> 7     Կլիմայական պայմանների ազդեցությունը հաշվի առնող ծախսերի գործակից </t>
  </si>
  <si>
    <t>Նյութերի ծախսերը որոշված են ըստ ՇՆ և Կ-ի համապատասխան։</t>
  </si>
  <si>
    <t xml:space="preserve">Ավելացված արժեքի հարկը հաշվի է առնված                                     </t>
  </si>
  <si>
    <t>20%։</t>
  </si>
  <si>
    <t xml:space="preserve">Ավելացված արժեքի հարկը կազմում է                                   </t>
  </si>
  <si>
    <t xml:space="preserve"> Օբյեկտի շինարարության ընդհանուր արժեքը կազմում է</t>
  </si>
  <si>
    <t>հականեխիչ</t>
  </si>
  <si>
    <t>46-96</t>
  </si>
  <si>
    <t>8--186</t>
  </si>
  <si>
    <t>10--70</t>
  </si>
  <si>
    <t>մեխ  շինար.</t>
  </si>
  <si>
    <t>9-24</t>
  </si>
  <si>
    <t xml:space="preserve">պտուտակ </t>
  </si>
  <si>
    <t>10--201</t>
  </si>
  <si>
    <t>Փայտե կոնստրուկցիաների հրապաշպանություն</t>
  </si>
  <si>
    <t>ամոնի ֆոսֆատ</t>
  </si>
  <si>
    <t>կերոսին</t>
  </si>
  <si>
    <t>10--203</t>
  </si>
  <si>
    <t>100քմ</t>
  </si>
  <si>
    <t>թիթեղ նախագծային</t>
  </si>
  <si>
    <t>8-195</t>
  </si>
  <si>
    <t>Ջրհորդան խողովակների տեղադրում  ցինկապատ թիթեղով Ф-100մմ տրամագծով ձագարներով և արմունկներով</t>
  </si>
  <si>
    <t>Ձագար</t>
  </si>
  <si>
    <t>Ոչ պիտանի փայտե կոնստրուկցիաների քանդում  (վերադարձ պատվիրատուին)</t>
  </si>
  <si>
    <t>Կավարամածի հրապաշպանություն</t>
  </si>
  <si>
    <t>մեխ շինար</t>
  </si>
  <si>
    <t>ամոնի սուլֆատ</t>
  </si>
  <si>
    <t>ՀՀ կառավարության որոշում N879-Ն 23.06.2011թ.2.0 %</t>
  </si>
  <si>
    <t>Ամբողջը</t>
  </si>
  <si>
    <t>2--29</t>
  </si>
  <si>
    <t>1-968</t>
  </si>
  <si>
    <t xml:space="preserve">Խողովակ </t>
  </si>
  <si>
    <t>ավազ</t>
  </si>
  <si>
    <t>1--3</t>
  </si>
  <si>
    <t>22-117</t>
  </si>
  <si>
    <t>8-149-1</t>
  </si>
  <si>
    <t>100 մ</t>
  </si>
  <si>
    <t>մալուխ</t>
  </si>
  <si>
    <t>6--1</t>
  </si>
  <si>
    <t>33-53</t>
  </si>
  <si>
    <t>8-405-2</t>
  </si>
  <si>
    <t>8--609-1</t>
  </si>
  <si>
    <t>Լուսարձակ</t>
  </si>
  <si>
    <t>15-613</t>
  </si>
  <si>
    <t>Մետաղական խողովակների յուղաներկում</t>
  </si>
  <si>
    <t xml:space="preserve"> Տանիքի ասբոշիֆերից  ծածկի քանդում </t>
  </si>
  <si>
    <t xml:space="preserve">Թիթեղյա ծածկույթի (ճոռերի) քանդում </t>
  </si>
  <si>
    <t xml:space="preserve">Ջրհորդան խողովակների ապամոնտաժում  ձագարներով  </t>
  </si>
  <si>
    <t xml:space="preserve">փայտանյութ </t>
  </si>
  <si>
    <t>Գագաթագծերի թիթեղապատում ցինկապատ  թիթեղով 0,55մմ հաստ. Կավարամածով</t>
  </si>
  <si>
    <t>Փոսերի փորում լուսավորության  հենասյունների համար - 5 hատ</t>
  </si>
  <si>
    <t>1-966</t>
  </si>
  <si>
    <t>Փոսերի բետոնացում Բ12.5 դասի բետոնով</t>
  </si>
  <si>
    <t>խողովակ Ф=108x4- 5 հատ</t>
  </si>
  <si>
    <t>17-1655</t>
  </si>
  <si>
    <t>Բաժանարար տուփ մետաղական</t>
  </si>
  <si>
    <t>Մալուխի մոնտաժում</t>
  </si>
  <si>
    <t>1-1594</t>
  </si>
  <si>
    <t>Նստարաններ 3հատ</t>
  </si>
  <si>
    <t xml:space="preserve">Նստարանների պատրաստում ուղիղ կտրվածքի խողովակներից և փայտե չորսուներից  </t>
  </si>
  <si>
    <t>МАФ 2-500</t>
  </si>
  <si>
    <t xml:space="preserve">խողովակ 30x30x2մմ </t>
  </si>
  <si>
    <t>չորսու</t>
  </si>
  <si>
    <t xml:space="preserve">Չորսու  60x30մմ </t>
  </si>
  <si>
    <t>15-607</t>
  </si>
  <si>
    <t>Փայտե նստարանների լաքապատում երկու անգամ</t>
  </si>
  <si>
    <t>լաք</t>
  </si>
  <si>
    <t>17-1573</t>
  </si>
  <si>
    <t>Մետաղական մակերեսների յուղաներկոմ հակակոռոզիոն ներկով երկու շերտ</t>
  </si>
  <si>
    <t>17-1661</t>
  </si>
  <si>
    <t>9-643</t>
  </si>
  <si>
    <t>6-435</t>
  </si>
  <si>
    <t>1--1552</t>
  </si>
  <si>
    <t xml:space="preserve">1-962 Գ=1,2 </t>
  </si>
  <si>
    <t>Գրունտի լրամշակում ձեռքով  4-րդ կարգի գրունտներում</t>
  </si>
  <si>
    <t>Խրամուղու փորում 0,5խմ շերեփի տարողությամբ էքսկավատորով 4-րդ կարգի գրունտներում կողալիցքում</t>
  </si>
  <si>
    <t xml:space="preserve">Ավելացած գրունտի բարձում ավտոմեքենաներին 0,5խմ շերեփի տարողությամբ էքսկավատորով </t>
  </si>
  <si>
    <t xml:space="preserve"> խմ</t>
  </si>
  <si>
    <t>23-1</t>
  </si>
  <si>
    <t>Ավազի նախապատրաստական շերտի կառուցում  խողովակաշարի տակ</t>
  </si>
  <si>
    <t>Ավազի պաշտպանիչ շերտի կառուցում  խողովակաշարի վրա</t>
  </si>
  <si>
    <t xml:space="preserve">Հետադարձ լիցքի իրականացում ձեռքով </t>
  </si>
  <si>
    <t>Պղնձե մալուխի  անցկացում խողովակի միջով ВВГ-660 3x6 մմ²</t>
  </si>
  <si>
    <t>22-118</t>
  </si>
  <si>
    <t>Պղնձե մալուխի  անցկացում խողովակի միջով ВВГ-660 5x6 մմ²</t>
  </si>
  <si>
    <t>Թիթեղ 150x150x8 մմ 5հատ</t>
  </si>
  <si>
    <t>Մետաղական պարկուճ խողովակների տեղադրում     Ф=133x4մմ L=1.5մ 5հատ</t>
  </si>
  <si>
    <t>Մետաղական սյուների տեղադրում     Ф=108x4մմ</t>
  </si>
  <si>
    <t>խողովակ Ф=133x4- 5 հատ</t>
  </si>
  <si>
    <t>Մետաղական պահունակների  խողովակների եռակցում սյուներին Ф=57x3.5մմ</t>
  </si>
  <si>
    <t>Արտաքին լուսավորության սյուներ - 5հատ</t>
  </si>
  <si>
    <t>16-1568</t>
  </si>
  <si>
    <t>Եռաֆազ ավտոմատ անջատիչների տեղադրում 25Ա</t>
  </si>
  <si>
    <t>Եռաֆազ մագնիսական թողարկիչի  տեղադրում 16Ա</t>
  </si>
  <si>
    <t>Ծրագրավորող ժամանակի ռելե</t>
  </si>
  <si>
    <t xml:space="preserve">Բաշխիչ սանրիկներ </t>
  </si>
  <si>
    <t>սանրիկ</t>
  </si>
  <si>
    <t>Պղնձե ծայրակալ Մ 25մմ</t>
  </si>
  <si>
    <t xml:space="preserve">ծայյրակալ </t>
  </si>
  <si>
    <t>Պղնձե ծայրակալ Մ 6մմ</t>
  </si>
  <si>
    <t>Պղնձե ծայրակալ Մ 4մմ</t>
  </si>
  <si>
    <t>Պղնձե ծայրակալ Մ 2.5մմ</t>
  </si>
  <si>
    <t>էլեկտրոնիկա</t>
  </si>
  <si>
    <t>Միաֆազ ավտոմատ անջատիչների տեղադրում 6Ա</t>
  </si>
  <si>
    <t>էքսպերտ 1</t>
  </si>
  <si>
    <t>Լուսարձակների մոնտաժում «լեդ» մակնիշի 50W</t>
  </si>
  <si>
    <t xml:space="preserve">Կազմված է 2022թ. գներով                  Գ.աշխ.= </t>
  </si>
  <si>
    <t xml:space="preserve">/ինֆորմացիոն տեղեկագիր N 5           Գ.մեք.= </t>
  </si>
  <si>
    <t>տոլ</t>
  </si>
  <si>
    <t xml:space="preserve">Արտաքին լուսավորության </t>
  </si>
  <si>
    <t>7-522</t>
  </si>
  <si>
    <t xml:space="preserve">Տանիքի ճոռերի կառուցում   ցինկապատ թիթեղից 0,55մմ հաստ. </t>
  </si>
  <si>
    <t>7-524</t>
  </si>
  <si>
    <t>7-453</t>
  </si>
  <si>
    <t>5--432</t>
  </si>
  <si>
    <t>7-477</t>
  </si>
  <si>
    <t xml:space="preserve">Տանիքի ծածկույթի կառուցում պրոֆիլավոր գունավոր ցինկապատ թիթեղով КП -21-0,5մմ </t>
  </si>
  <si>
    <t xml:space="preserve">Փայտե կոնստրուկցիաների կառուցում /տապաստ, կանգնակ, հենագերան, ծպեղնաոտք, թեքան, կավարամած և այլն) </t>
  </si>
  <si>
    <t>7--503</t>
  </si>
  <si>
    <t>7--499</t>
  </si>
  <si>
    <t>Պոլիպրոպիլենային   պատյան խողովակների տեղադրում խրամուղում Ф=40x2.5մմ</t>
  </si>
  <si>
    <t>Պոլիպրոպիլենային   պատյան խողովակների տեղադրում խրամուղում Ф=63x2.5մմ</t>
  </si>
  <si>
    <t>9-1086</t>
  </si>
  <si>
    <t>9-1087</t>
  </si>
  <si>
    <t>9-1089</t>
  </si>
  <si>
    <t>16-1498</t>
  </si>
  <si>
    <t>ՎԱԿ գրուպ</t>
  </si>
  <si>
    <t>բետոն Բ12.5</t>
  </si>
  <si>
    <t>5-398</t>
  </si>
  <si>
    <t>9-625</t>
  </si>
  <si>
    <t>9-619</t>
  </si>
  <si>
    <t>9-599</t>
  </si>
  <si>
    <t>21-1784</t>
  </si>
  <si>
    <t xml:space="preserve">Կազմեց՝                                  </t>
  </si>
  <si>
    <t>Միջին աշխատավարձը ընդունված է 214732 դրամ</t>
  </si>
  <si>
    <t xml:space="preserve">Նյութերի արժեքները ընդունված են  ՀՀ ֆինանսների նախարարության կողմից հրապարակվող «Շինարարական նյութերի, կոնստրուկցիաների և պատրաստվածքների կողմնորոշիչ  գների» 2022թ N 5 տեղեկագրի </t>
  </si>
  <si>
    <t>Կազմված է 2022թ. գներով</t>
  </si>
  <si>
    <t>Կազմված է 2022թ. N 5 տեղեկագրի  գներով</t>
  </si>
  <si>
    <t xml:space="preserve"> Ավելացած գրունտի տեղափոխում 6 կմ հեռ վրա  </t>
  </si>
  <si>
    <t>C310-6</t>
  </si>
  <si>
    <t>Խողովակ Ф=57x3,5մմ 10 հատ</t>
  </si>
  <si>
    <t>Պոլիպրոպիլենային   պատյան խողովակների տեղադրում սյուների  պահունակների միջով Ф=32x2.5մմ</t>
  </si>
  <si>
    <t>Պոլիպրոպիլենային   պատյան խողովակների տեղադրում սյուների   միջով Ф=32x2.5մմ</t>
  </si>
  <si>
    <t xml:space="preserve">                                           « _______» _________________ 2022թ,</t>
  </si>
  <si>
    <t xml:space="preserve"> Տեղ համայնքի ղեկավար</t>
  </si>
  <si>
    <t xml:space="preserve">                                    Դ. Ղուլունց</t>
  </si>
  <si>
    <r>
      <t xml:space="preserve">8090.27
</t>
    </r>
    <r>
      <rPr>
        <b/>
        <sz val="10"/>
        <rFont val="GHEA Grapalat"/>
        <family val="3"/>
      </rPr>
      <t>հազ դրամ։</t>
    </r>
  </si>
  <si>
    <r>
      <t xml:space="preserve">1348.38
 </t>
    </r>
    <r>
      <rPr>
        <sz val="10"/>
        <rFont val="GHEA Grapalat"/>
        <family val="3"/>
      </rPr>
      <t>հազ. դր.</t>
    </r>
  </si>
  <si>
    <r>
      <t>«</t>
    </r>
    <r>
      <rPr>
        <b/>
        <sz val="11"/>
        <rFont val="Arial LatArm"/>
        <family val="2"/>
      </rPr>
      <t>ՀՀ  êÚàôÜÆøÆ Ø²ð¼Æ ՏԵՂ Ð²Ø²ÚÜøàôØ, ՏԵՂ ԳՅՈՒՂ ՓՈՂՈՑ 43, ԹԻՎ 8 ՀԱՍՑԵՈՒՄ ՄԵԼԻՔ ԲԱՐԽՈՒԴԱՐԻ ԱՄԱՐԱԹԻ ՏԱՆԻՔԻ ՎԵՐԱԿԱՌՈՒՑՄԱՆ ԵՎ ՀԱՐԱԿԻՑ ՏԱՐԱԾՔԻ ԱՐՏԱՔԻՆ ԼՈՒՍԱՎՈՐՈՒԹՅԱՆ ՑԱՆՑԻ ԿԱՌՈՒՑՄԱՆ, ՆՍՏԱՐԱՆՆԵՐԻ ՏԵՂԱԴՐՄԱՆ ՆԱԽԱԳԻԾ</t>
    </r>
    <r>
      <rPr>
        <b/>
        <sz val="11"/>
        <rFont val="GHEA Grapalat"/>
        <family val="3"/>
      </rPr>
      <t>»</t>
    </r>
  </si>
  <si>
    <r>
      <t>«</t>
    </r>
    <r>
      <rPr>
        <b/>
        <sz val="12"/>
        <rFont val="Arial LatArm"/>
        <family val="2"/>
      </rPr>
      <t>ՀՀ  êÚàôÜÆøÆ Ø²ð¼Æ ՏԵՂ Ð²Ø²ÚÜøàôØ, ՏԵՂ ԳՅՈՒՂ ՓՈՂՈՑ 43, ԹԻՎ 8 ՀԱՍՑԵՈՒՄ ՄԵԼԻՔ ԲԱՐԽՈՒԴԱՐԻ ԱՄԱՐԱԹԻ ՏԱՆԻՔԻ ՎԵՐԱԿԱՌՈՒՑՄԱՆ ԵՎ ՀԱՐԱԿԻՑ ՏԱՐԱԾՔԻ ԱՐՏԱՔԻՆ ԼՈՒՍԱՎՈՐՈՒԹՅԱՆ ՑԱՆՑԻ ԿԱՌՈՒՑՄԱՆ, ՆՍՏԱՐԱՆՆԵՐԻ ՏԵՂԱԴՐՄԱՆ ՆԱԽԱԳԻԾ</t>
    </r>
    <r>
      <rPr>
        <b/>
        <sz val="12"/>
        <rFont val="GHEA Grapalat"/>
        <family val="3"/>
      </rPr>
      <t>»</t>
    </r>
  </si>
  <si>
    <r>
      <t>««</t>
    </r>
    <r>
      <rPr>
        <b/>
        <sz val="11"/>
        <rFont val="Arial LatArm"/>
        <family val="2"/>
      </rPr>
      <t>ՀՀ  êÚàôÜÆøÆ Ø²ð¼Æ ՏԵՂ Ð²Ø²ÚÜøàôØ, ՏԵՂ ԳՅՈՒՂ ՓՈՂՈՑ 43, ԹԻՎ 8 ՀԱՍՑԵՈՒՄ ՄԵԼԻՔ ԲԱՐԽՈՒԴԱՐԻ ԱՄԱՐԱԹԻ ՏԱՆԻՔԻ ՎԵՐԱԿԱՌՈՒՑՄԱՆ ԵՎ ՀԱՐԱԿԻՑ ՏԱՐԱԾՔԻ ԱՐՏԱՔԻՆ ԼՈՒՍԱՎՈՐՈՒԹՅԱՆ ՑԱՆՑԻ ԿԱՌՈՒՑՄԱՆ, ՆՍՏԱՐԱՆՆԵՐԻ ՏԵՂԱԴՐՄԱՆ ՆԱԽԱԳԻԾ</t>
    </r>
    <r>
      <rPr>
        <b/>
        <sz val="11"/>
        <rFont val="GHEA Grapalat"/>
        <family val="3"/>
      </rPr>
      <t>»»</t>
    </r>
  </si>
  <si>
    <r>
      <rPr>
        <b/>
        <sz val="11"/>
        <rFont val="GHEA Grapalat"/>
        <family val="3"/>
      </rPr>
      <t xml:space="preserve"> «</t>
    </r>
    <r>
      <rPr>
        <b/>
        <sz val="10"/>
        <rFont val="Arial LatArm"/>
        <family val="2"/>
      </rPr>
      <t>ՀՀ  êÚàôÜÆøÆ Ø²ð¼Æ ՏԵՂ Ð²Ø²ÚÜøàôØ, ՏԵՂ ԳՅՈՒՂ ՓՈՂՈՑ 43, ԹԻՎ 8 ՀԱՍՑԵՈՒՄ ՄԵԼԻՔ ԲԱՐԽՈՒԴԱՐԻ ԱՄԱՐԱԹԻ ՏԱՆԻՔԻ ՎԵՐԱԿԱՌՈՒՑՄԱՆ ԵՎ ՀԱՐԱԿԻՑ ՏԱՐԱԾՔԻ ԱՐՏԱՔԻՆ ԼՈՒՍԱՎՈՐՈՒԹՅԱՆ ՑԱՆՑԻ ԿԱՌՈՒՑՄԱՆ, ՆՍՏԱՐԱՆՆԵՐԻ ՏԵՂԱԴՐՄԱՆ ՆԱԽԱԳԻԾ</t>
    </r>
    <r>
      <rPr>
        <b/>
        <sz val="11"/>
        <rFont val="GHEA Grapalat"/>
        <family val="3"/>
      </rPr>
      <t>»</t>
    </r>
    <r>
      <rPr>
        <sz val="11"/>
        <rFont val="GHEA Grapalat"/>
        <family val="3"/>
      </rPr>
      <t xml:space="preserve"> օբյեկտի աշխատանքների նախահաշվային փաստաթղթերը կազմված են  աշխատանքային գծագրերի   հիման վրա։</t>
    </r>
  </si>
  <si>
    <t>հազ.դրամ</t>
  </si>
  <si>
    <t xml:space="preserve">Մեկ միավորի ընդհանուր արժեքը                                                                </t>
  </si>
  <si>
    <t xml:space="preserve">Ընդհանուր արժեքը </t>
  </si>
  <si>
    <t xml:space="preserve">Ծ Ա Վ Ա Լ Ա Թ Ե Ր Թ   Ն Ա Խ Ա Հ Ա Շ Ի Վ    </t>
  </si>
  <si>
    <t>ԱԱՀ 20%</t>
  </si>
  <si>
    <t>«ՀՀ  ՀՀ ՍՅՈՒՆԻՔԻ ՄԱՐԶԻ ՏԵՂ ՀԱՄԱՅՆՔՈՒՄ, ՏԵՂ ԳՅՈՒՂ ՓՈՂՈՑ 43, ԹԻՎ 8 ՀԱՍՑԵՈՒՄ ՄԵԼԻՔ ԲԱՐԽՈՒԴԱՐԻ ԱՄԱՐԱԹԻ ՏԱՆԻՔԻ ՎԵՐԱԿԱՌՈՒՑՄԱՆ ԵՎ ՀԱՐԱԿԻՑ ՏԱՐԱԾՔԻ ԱՐՏԱՔԻՆ ԼՈՒՍԱՎՈՐՈՒԹՅԱՆ ՑԱՆՑԻ ԿԱՌՈՒՑՄԱՆ, ՆՍՏԱՐԱՆՆԵՐԻ ՏԵՂԱԴՐՄԱՆ ՆԱԽԱԳԻԾ»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</si>
</sst>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%"/>
    <numFmt numFmtId="193" formatCode="0.0E+00"/>
    <numFmt numFmtId="194" formatCode="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0.000000"/>
    <numFmt numFmtId="207" formatCode="0.00;[Red]0.00"/>
    <numFmt numFmtId="208" formatCode="#,##0.0000"/>
    <numFmt numFmtId="209" formatCode="#,##0.000"/>
    <numFmt numFmtId="210" formatCode="0.0000000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i/>
      <sz val="11"/>
      <color indexed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b/>
      <u val="single"/>
      <sz val="10"/>
      <name val="GHEA Grapalat"/>
      <family val="3"/>
    </font>
    <font>
      <b/>
      <sz val="9"/>
      <name val="GHEA Grapalat"/>
      <family val="3"/>
    </font>
    <font>
      <sz val="14"/>
      <name val="GHEA Grapalat"/>
      <family val="3"/>
    </font>
    <font>
      <b/>
      <sz val="14"/>
      <name val="GHEA Grapalat"/>
      <family val="3"/>
    </font>
    <font>
      <i/>
      <sz val="8"/>
      <name val="GHEA Grapalat"/>
      <family val="3"/>
    </font>
    <font>
      <b/>
      <sz val="11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sz val="11"/>
      <color indexed="8"/>
      <name val="Calibri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Arial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Arial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  <font>
      <sz val="9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2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/>
    </xf>
    <xf numFmtId="192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9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89" fontId="8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90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20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191" fontId="7" fillId="0" borderId="11" xfId="0" applyNumberFormat="1" applyFont="1" applyFill="1" applyBorder="1" applyAlignment="1">
      <alignment horizontal="center" vertical="center" wrapText="1"/>
    </xf>
    <xf numFmtId="191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4" fillId="0" borderId="0" xfId="66" applyFont="1" applyAlignment="1">
      <alignment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11" fillId="0" borderId="0" xfId="66" applyFont="1" applyAlignment="1">
      <alignment vertical="center" wrapText="1"/>
      <protection/>
    </xf>
    <xf numFmtId="0" fontId="11" fillId="0" borderId="0" xfId="66" applyFont="1" applyAlignment="1">
      <alignment horizontal="left" vertical="center" wrapText="1"/>
      <protection/>
    </xf>
    <xf numFmtId="0" fontId="11" fillId="0" borderId="0" xfId="66" applyNumberFormat="1" applyFont="1" applyAlignment="1">
      <alignment horizontal="left" vertical="center" wrapText="1"/>
      <protection/>
    </xf>
    <xf numFmtId="0" fontId="3" fillId="0" borderId="0" xfId="66" applyFont="1" applyAlignment="1">
      <alignment horizontal="left"/>
      <protection/>
    </xf>
    <xf numFmtId="10" fontId="11" fillId="0" borderId="0" xfId="66" applyNumberFormat="1" applyFont="1" applyAlignment="1">
      <alignment horizontal="left" vertical="center" wrapText="1"/>
      <protection/>
    </xf>
    <xf numFmtId="9" fontId="11" fillId="0" borderId="0" xfId="66" applyNumberFormat="1" applyFont="1" applyAlignment="1">
      <alignment horizontal="left" vertical="center" wrapText="1"/>
      <protection/>
    </xf>
    <xf numFmtId="192" fontId="11" fillId="0" borderId="0" xfId="66" applyNumberFormat="1" applyFont="1" applyAlignment="1">
      <alignment horizontal="left" vertical="center" wrapText="1"/>
      <protection/>
    </xf>
    <xf numFmtId="2" fontId="11" fillId="0" borderId="0" xfId="66" applyNumberFormat="1" applyFont="1" applyAlignment="1">
      <alignment horizontal="left" vertical="center" wrapText="1"/>
      <protection/>
    </xf>
    <xf numFmtId="0" fontId="5" fillId="0" borderId="0" xfId="66" applyFont="1" applyAlignment="1">
      <alignment horizontal="left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209" fontId="64" fillId="0" borderId="11" xfId="0" applyNumberFormat="1" applyFont="1" applyFill="1" applyBorder="1" applyAlignment="1">
      <alignment horizontal="center" vertical="center" wrapText="1"/>
    </xf>
    <xf numFmtId="190" fontId="64" fillId="0" borderId="11" xfId="0" applyNumberFormat="1" applyFont="1" applyFill="1" applyBorder="1" applyAlignment="1">
      <alignment horizontal="center" vertical="center" wrapText="1"/>
    </xf>
    <xf numFmtId="188" fontId="63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90" fontId="17" fillId="0" borderId="11" xfId="0" applyNumberFormat="1" applyFont="1" applyFill="1" applyBorder="1" applyAlignment="1">
      <alignment horizontal="center" vertical="center" wrapText="1"/>
    </xf>
    <xf numFmtId="190" fontId="63" fillId="0" borderId="11" xfId="0" applyNumberFormat="1" applyFont="1" applyFill="1" applyBorder="1" applyAlignment="1">
      <alignment horizontal="center" vertical="center" wrapText="1"/>
    </xf>
    <xf numFmtId="189" fontId="63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190" fontId="64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190" fontId="63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88" fontId="4" fillId="35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188" fontId="63" fillId="35" borderId="11" xfId="0" applyNumberFormat="1" applyFont="1" applyFill="1" applyBorder="1" applyAlignment="1">
      <alignment horizontal="center" vertical="center" wrapText="1"/>
    </xf>
    <xf numFmtId="190" fontId="63" fillId="35" borderId="11" xfId="0" applyNumberFormat="1" applyFont="1" applyFill="1" applyBorder="1" applyAlignment="1">
      <alignment horizontal="center" vertical="center" wrapText="1"/>
    </xf>
    <xf numFmtId="2" fontId="63" fillId="35" borderId="11" xfId="0" applyNumberFormat="1" applyFont="1" applyFill="1" applyBorder="1" applyAlignment="1">
      <alignment horizontal="center" vertical="center" wrapText="1"/>
    </xf>
    <xf numFmtId="2" fontId="64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89" fontId="63" fillId="35" borderId="11" xfId="0" applyNumberFormat="1" applyFont="1" applyFill="1" applyBorder="1" applyAlignment="1">
      <alignment horizontal="center" vertical="center" wrapText="1"/>
    </xf>
    <xf numFmtId="190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34" borderId="11" xfId="0" applyNumberFormat="1" applyFont="1" applyFill="1" applyBorder="1" applyAlignment="1">
      <alignment horizontal="center" vertical="center" wrapText="1"/>
    </xf>
    <xf numFmtId="190" fontId="63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0" xfId="66" applyFont="1" applyAlignment="1">
      <alignment horizontal="center" vertical="center" wrapText="1"/>
      <protection/>
    </xf>
    <xf numFmtId="0" fontId="11" fillId="0" borderId="0" xfId="66" applyFont="1" applyAlignment="1">
      <alignment vertical="center" wrapText="1"/>
      <protection/>
    </xf>
    <xf numFmtId="0" fontId="11" fillId="0" borderId="0" xfId="66" applyFont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190" fontId="4" fillId="35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190" fontId="63" fillId="35" borderId="11" xfId="0" applyNumberFormat="1" applyFont="1" applyFill="1" applyBorder="1" applyAlignment="1">
      <alignment horizontal="center" vertical="center" wrapText="1"/>
    </xf>
    <xf numFmtId="188" fontId="4" fillId="35" borderId="11" xfId="0" applyNumberFormat="1" applyFont="1" applyFill="1" applyBorder="1" applyAlignment="1">
      <alignment horizontal="center" vertical="center" wrapText="1"/>
    </xf>
    <xf numFmtId="2" fontId="63" fillId="35" borderId="11" xfId="0" applyNumberFormat="1" applyFont="1" applyFill="1" applyBorder="1" applyAlignment="1">
      <alignment horizontal="center" vertical="center" wrapText="1"/>
    </xf>
    <xf numFmtId="2" fontId="64" fillId="35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3" xfId="67"/>
    <cellStyle name="Обычный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PageLayoutView="0" workbookViewId="0" topLeftCell="A1">
      <selection activeCell="B6" sqref="B6:H6"/>
    </sheetView>
  </sheetViews>
  <sheetFormatPr defaultColWidth="9.140625" defaultRowHeight="12.75"/>
  <cols>
    <col min="1" max="1" width="3.8515625" style="29" bestFit="1" customWidth="1"/>
    <col min="2" max="2" width="17.28125" style="30" customWidth="1"/>
    <col min="3" max="3" width="43.140625" style="29" customWidth="1"/>
    <col min="4" max="4" width="17.8515625" style="29" customWidth="1"/>
    <col min="5" max="5" width="13.57421875" style="29" customWidth="1"/>
    <col min="6" max="6" width="16.57421875" style="29" customWidth="1"/>
    <col min="7" max="7" width="11.28125" style="29" customWidth="1"/>
    <col min="8" max="8" width="18.57421875" style="29" customWidth="1"/>
    <col min="9" max="16384" width="9.140625" style="29" customWidth="1"/>
  </cols>
  <sheetData>
    <row r="1" spans="5:9" s="27" customFormat="1" ht="16.5">
      <c r="E1" s="101"/>
      <c r="F1" s="146" t="s">
        <v>66</v>
      </c>
      <c r="G1" s="146"/>
      <c r="H1" s="146"/>
      <c r="I1" s="98"/>
    </row>
    <row r="2" spans="1:10" s="28" customFormat="1" ht="24" customHeight="1">
      <c r="A2" s="141"/>
      <c r="B2" s="141"/>
      <c r="E2" s="145" t="s">
        <v>261</v>
      </c>
      <c r="F2" s="145"/>
      <c r="G2" s="145"/>
      <c r="H2" s="145"/>
      <c r="I2" s="99"/>
      <c r="J2" s="99"/>
    </row>
    <row r="3" spans="1:9" s="28" customFormat="1" ht="16.5">
      <c r="A3" s="141"/>
      <c r="B3" s="141"/>
      <c r="E3" s="146" t="s">
        <v>262</v>
      </c>
      <c r="F3" s="146"/>
      <c r="G3" s="146"/>
      <c r="H3" s="146"/>
      <c r="I3" s="98"/>
    </row>
    <row r="4" spans="5:9" ht="16.5">
      <c r="E4" s="147" t="s">
        <v>260</v>
      </c>
      <c r="F4" s="147"/>
      <c r="G4" s="147"/>
      <c r="H4" s="147"/>
      <c r="I4" s="98"/>
    </row>
    <row r="5" spans="1:8" ht="17.25">
      <c r="A5" s="151" t="s">
        <v>59</v>
      </c>
      <c r="B5" s="151"/>
      <c r="C5" s="151"/>
      <c r="D5" s="151"/>
      <c r="E5" s="151"/>
      <c r="F5" s="151"/>
      <c r="G5" s="151"/>
      <c r="H5" s="151"/>
    </row>
    <row r="6" spans="2:8" ht="43.5" customHeight="1">
      <c r="B6" s="144" t="s">
        <v>265</v>
      </c>
      <c r="C6" s="144"/>
      <c r="D6" s="144"/>
      <c r="E6" s="144"/>
      <c r="F6" s="144"/>
      <c r="G6" s="144"/>
      <c r="H6" s="144"/>
    </row>
    <row r="7" spans="1:8" ht="18.75" customHeight="1">
      <c r="A7" s="153" t="s">
        <v>253</v>
      </c>
      <c r="B7" s="153"/>
      <c r="C7" s="153"/>
      <c r="D7" s="152" t="s">
        <v>35</v>
      </c>
      <c r="E7" s="152"/>
      <c r="F7" s="152"/>
      <c r="G7" s="31">
        <f>H31</f>
        <v>8090.269298501351</v>
      </c>
      <c r="H7" s="32" t="s">
        <v>34</v>
      </c>
    </row>
    <row r="8" spans="1:8" ht="18.75" customHeight="1">
      <c r="A8" s="139" t="s">
        <v>47</v>
      </c>
      <c r="B8" s="140" t="s">
        <v>60</v>
      </c>
      <c r="C8" s="139" t="s">
        <v>61</v>
      </c>
      <c r="D8" s="148" t="s">
        <v>54</v>
      </c>
      <c r="E8" s="149"/>
      <c r="F8" s="149"/>
      <c r="G8" s="150"/>
      <c r="H8" s="142" t="s">
        <v>39</v>
      </c>
    </row>
    <row r="9" spans="1:8" ht="48.75" customHeight="1">
      <c r="A9" s="139"/>
      <c r="B9" s="140"/>
      <c r="C9" s="139"/>
      <c r="D9" s="39" t="s">
        <v>55</v>
      </c>
      <c r="E9" s="39" t="s">
        <v>53</v>
      </c>
      <c r="F9" s="39" t="s">
        <v>62</v>
      </c>
      <c r="G9" s="39" t="s">
        <v>36</v>
      </c>
      <c r="H9" s="143"/>
    </row>
    <row r="10" spans="1:8" s="34" customFormat="1" ht="11.2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</row>
    <row r="11" spans="1:8" s="38" customFormat="1" ht="28.5">
      <c r="A11" s="35"/>
      <c r="B11" s="36"/>
      <c r="C11" s="37" t="s">
        <v>48</v>
      </c>
      <c r="D11" s="35"/>
      <c r="E11" s="35"/>
      <c r="F11" s="35"/>
      <c r="G11" s="35"/>
      <c r="H11" s="35"/>
    </row>
    <row r="12" spans="1:8" s="38" customFormat="1" ht="27">
      <c r="A12" s="139">
        <v>1</v>
      </c>
      <c r="B12" s="40" t="s">
        <v>93</v>
      </c>
      <c r="C12" s="40" t="s">
        <v>25</v>
      </c>
      <c r="D12" s="41">
        <f>օբյ!D8</f>
        <v>6195.719973373931</v>
      </c>
      <c r="E12" s="41"/>
      <c r="F12" s="41">
        <v>0</v>
      </c>
      <c r="G12" s="41"/>
      <c r="H12" s="41">
        <f>F12+E12+D12</f>
        <v>6195.719973373931</v>
      </c>
    </row>
    <row r="13" spans="1:8" s="38" customFormat="1" ht="14.25">
      <c r="A13" s="139"/>
      <c r="B13" s="40"/>
      <c r="C13" s="37" t="s">
        <v>40</v>
      </c>
      <c r="D13" s="41">
        <f>SUM(D12:D12)</f>
        <v>6195.719973373931</v>
      </c>
      <c r="E13" s="41">
        <f>օբյ!E8</f>
        <v>0</v>
      </c>
      <c r="F13" s="41">
        <f>SUM(F12:F12)</f>
        <v>0</v>
      </c>
      <c r="G13" s="41"/>
      <c r="H13" s="41">
        <f>SUM(H12:H12)</f>
        <v>6195.719973373931</v>
      </c>
    </row>
    <row r="14" spans="1:8" s="38" customFormat="1" ht="15" customHeight="1">
      <c r="A14" s="139">
        <v>2</v>
      </c>
      <c r="B14" s="140" t="s">
        <v>83</v>
      </c>
      <c r="C14" s="42" t="s">
        <v>38</v>
      </c>
      <c r="D14" s="138">
        <f>D13*0.5/100</f>
        <v>30.978599866869654</v>
      </c>
      <c r="E14" s="138">
        <f>E13*0.5/100</f>
        <v>0</v>
      </c>
      <c r="F14" s="138"/>
      <c r="G14" s="138"/>
      <c r="H14" s="138">
        <f>D14+E14</f>
        <v>30.978599866869654</v>
      </c>
    </row>
    <row r="15" spans="1:8" s="38" customFormat="1" ht="29.25" customHeight="1">
      <c r="A15" s="139"/>
      <c r="B15" s="140"/>
      <c r="C15" s="40" t="s">
        <v>63</v>
      </c>
      <c r="D15" s="138"/>
      <c r="E15" s="138"/>
      <c r="F15" s="138"/>
      <c r="G15" s="138"/>
      <c r="H15" s="138"/>
    </row>
    <row r="16" spans="1:10" s="38" customFormat="1" ht="14.25">
      <c r="A16" s="39"/>
      <c r="B16" s="40"/>
      <c r="C16" s="37" t="s">
        <v>41</v>
      </c>
      <c r="D16" s="41">
        <f>D13+D14</f>
        <v>6226.6985732408</v>
      </c>
      <c r="E16" s="41">
        <f>E14+E13</f>
        <v>0</v>
      </c>
      <c r="F16" s="41">
        <f>F14+F13</f>
        <v>0</v>
      </c>
      <c r="G16" s="41"/>
      <c r="H16" s="41">
        <f>H13+H14</f>
        <v>6226.6985732408</v>
      </c>
      <c r="J16" s="44"/>
    </row>
    <row r="17" spans="1:8" s="38" customFormat="1" ht="14.25">
      <c r="A17" s="139">
        <v>3</v>
      </c>
      <c r="B17" s="140" t="s">
        <v>82</v>
      </c>
      <c r="C17" s="42" t="s">
        <v>64</v>
      </c>
      <c r="D17" s="43"/>
      <c r="E17" s="43"/>
      <c r="F17" s="43"/>
      <c r="G17" s="43"/>
      <c r="H17" s="43"/>
    </row>
    <row r="18" spans="1:8" s="38" customFormat="1" ht="30" customHeight="1">
      <c r="A18" s="139"/>
      <c r="B18" s="140"/>
      <c r="C18" s="40" t="s">
        <v>45</v>
      </c>
      <c r="D18" s="43">
        <f>D16*0.3/100</f>
        <v>18.6800957197224</v>
      </c>
      <c r="E18" s="43">
        <f>E16*0.3/100</f>
        <v>0</v>
      </c>
      <c r="F18" s="43"/>
      <c r="G18" s="43"/>
      <c r="H18" s="43">
        <f>E18+D18</f>
        <v>18.6800957197224</v>
      </c>
    </row>
    <row r="19" spans="1:8" s="38" customFormat="1" ht="14.25">
      <c r="A19" s="39"/>
      <c r="B19" s="40"/>
      <c r="C19" s="37" t="s">
        <v>85</v>
      </c>
      <c r="D19" s="41">
        <f>D16+D18</f>
        <v>6245.378668960522</v>
      </c>
      <c r="E19" s="41">
        <f>E16+E18</f>
        <v>0</v>
      </c>
      <c r="F19" s="41">
        <f>F18+F16+F14</f>
        <v>0</v>
      </c>
      <c r="G19" s="41"/>
      <c r="H19" s="41">
        <f>H16+H18</f>
        <v>6245.378668960522</v>
      </c>
    </row>
    <row r="20" spans="1:8" s="38" customFormat="1" ht="14.25" customHeight="1">
      <c r="A20" s="39"/>
      <c r="B20" s="40"/>
      <c r="C20" s="42" t="s">
        <v>86</v>
      </c>
      <c r="D20" s="41"/>
      <c r="E20" s="41"/>
      <c r="F20" s="41"/>
      <c r="G20" s="41"/>
      <c r="H20" s="41"/>
    </row>
    <row r="21" spans="1:8" s="38" customFormat="1" ht="60" customHeight="1">
      <c r="A21" s="39">
        <v>4</v>
      </c>
      <c r="B21" s="40" t="s">
        <v>49</v>
      </c>
      <c r="C21" s="40" t="s">
        <v>65</v>
      </c>
      <c r="D21" s="43">
        <f>D19*0.0015</f>
        <v>9.368068003440783</v>
      </c>
      <c r="E21" s="43">
        <f>E16*0.15/100</f>
        <v>0</v>
      </c>
      <c r="F21" s="43"/>
      <c r="G21" s="43"/>
      <c r="H21" s="43">
        <f>E21+D21</f>
        <v>9.368068003440783</v>
      </c>
    </row>
    <row r="22" spans="1:8" s="38" customFormat="1" ht="59.25" customHeight="1">
      <c r="A22" s="39">
        <v>5</v>
      </c>
      <c r="B22" s="40" t="s">
        <v>144</v>
      </c>
      <c r="C22" s="40" t="s">
        <v>24</v>
      </c>
      <c r="D22" s="43">
        <f>D19*0.02</f>
        <v>124.90757337921045</v>
      </c>
      <c r="E22" s="43">
        <f>E19*2/100</f>
        <v>0</v>
      </c>
      <c r="F22" s="43"/>
      <c r="G22" s="43"/>
      <c r="H22" s="43">
        <f>D22+E22</f>
        <v>124.90757337921045</v>
      </c>
    </row>
    <row r="23" spans="1:8" s="38" customFormat="1" ht="17.25" customHeight="1">
      <c r="A23" s="39"/>
      <c r="B23" s="45"/>
      <c r="C23" s="37" t="s">
        <v>42</v>
      </c>
      <c r="D23" s="41">
        <f>D19+D21+D22</f>
        <v>6379.654310343173</v>
      </c>
      <c r="E23" s="41">
        <f>E19+E21+E22</f>
        <v>0</v>
      </c>
      <c r="F23" s="41">
        <f>SUM(F19:F22)</f>
        <v>0</v>
      </c>
      <c r="G23" s="41"/>
      <c r="H23" s="41">
        <f>H19+H21+H22</f>
        <v>6379.654310343173</v>
      </c>
    </row>
    <row r="24" spans="1:8" s="38" customFormat="1" ht="59.25" customHeight="1">
      <c r="A24" s="39"/>
      <c r="B24" s="40" t="s">
        <v>50</v>
      </c>
      <c r="C24" s="37" t="s">
        <v>57</v>
      </c>
      <c r="D24" s="43"/>
      <c r="E24" s="41"/>
      <c r="F24" s="43"/>
      <c r="G24" s="43"/>
      <c r="H24" s="43"/>
    </row>
    <row r="25" spans="1:8" s="38" customFormat="1" ht="14.25">
      <c r="A25" s="39">
        <v>6</v>
      </c>
      <c r="B25" s="46">
        <v>0.02</v>
      </c>
      <c r="C25" s="47" t="s">
        <v>58</v>
      </c>
      <c r="D25" s="43"/>
      <c r="E25" s="41"/>
      <c r="F25" s="43"/>
      <c r="G25" s="43">
        <f>H23*0.02</f>
        <v>127.59308620686346</v>
      </c>
      <c r="H25" s="43">
        <f>G25</f>
        <v>127.59308620686346</v>
      </c>
    </row>
    <row r="26" spans="1:8" s="38" customFormat="1" ht="14.25">
      <c r="A26" s="39">
        <v>7</v>
      </c>
      <c r="B26" s="46">
        <v>0.006</v>
      </c>
      <c r="C26" s="47" t="s">
        <v>51</v>
      </c>
      <c r="D26" s="43"/>
      <c r="E26" s="41"/>
      <c r="F26" s="43"/>
      <c r="G26" s="43">
        <f>H23*0.006</f>
        <v>38.27792586205904</v>
      </c>
      <c r="H26" s="43">
        <f>G26</f>
        <v>38.27792586205904</v>
      </c>
    </row>
    <row r="27" spans="1:8" s="38" customFormat="1" ht="14.25">
      <c r="A27" s="39"/>
      <c r="B27" s="40"/>
      <c r="C27" s="37" t="s">
        <v>43</v>
      </c>
      <c r="D27" s="41">
        <f>SUM(D23:D26)</f>
        <v>6379.654310343173</v>
      </c>
      <c r="E27" s="41">
        <f>SUM(E23:E26)</f>
        <v>0</v>
      </c>
      <c r="F27" s="41">
        <f>SUM(F23:F26)</f>
        <v>0</v>
      </c>
      <c r="G27" s="41">
        <f>G25+G26</f>
        <v>165.8710120689225</v>
      </c>
      <c r="H27" s="41">
        <f>H23+H25+H26</f>
        <v>6545.525322412096</v>
      </c>
    </row>
    <row r="28" spans="1:8" s="38" customFormat="1" ht="14.25">
      <c r="A28" s="39">
        <v>8</v>
      </c>
      <c r="B28" s="48">
        <v>0.03</v>
      </c>
      <c r="C28" s="47" t="s">
        <v>56</v>
      </c>
      <c r="D28" s="43">
        <f>D27*0.03</f>
        <v>191.3896293102952</v>
      </c>
      <c r="E28" s="43">
        <f>E27*B28</f>
        <v>0</v>
      </c>
      <c r="F28" s="43"/>
      <c r="G28" s="43">
        <f>G27*0.03</f>
        <v>4.976130362067675</v>
      </c>
      <c r="H28" s="41">
        <f>D28+G28+E28</f>
        <v>196.36575967236286</v>
      </c>
    </row>
    <row r="29" spans="1:8" s="38" customFormat="1" ht="14.25">
      <c r="A29" s="39"/>
      <c r="B29" s="40"/>
      <c r="C29" s="37" t="s">
        <v>44</v>
      </c>
      <c r="D29" s="41">
        <f>D27+D28</f>
        <v>6571.043939653468</v>
      </c>
      <c r="E29" s="41">
        <f>E28+E27</f>
        <v>0</v>
      </c>
      <c r="F29" s="41">
        <f>F28+F27</f>
        <v>0</v>
      </c>
      <c r="G29" s="41">
        <f>G27+G28</f>
        <v>170.84714243099017</v>
      </c>
      <c r="H29" s="41">
        <f>H27+H28</f>
        <v>6741.891082084459</v>
      </c>
    </row>
    <row r="30" spans="1:8" s="49" customFormat="1" ht="14.25">
      <c r="A30" s="39">
        <v>9</v>
      </c>
      <c r="B30" s="48">
        <v>0.2</v>
      </c>
      <c r="C30" s="37" t="s">
        <v>52</v>
      </c>
      <c r="D30" s="43">
        <f>D29*0.2</f>
        <v>1314.2087879306937</v>
      </c>
      <c r="E30" s="43">
        <f>E29*B30</f>
        <v>0</v>
      </c>
      <c r="F30" s="43"/>
      <c r="G30" s="43">
        <f>G29*0.2</f>
        <v>34.169428486198036</v>
      </c>
      <c r="H30" s="43">
        <f>H29*0.2</f>
        <v>1348.378216416892</v>
      </c>
    </row>
    <row r="31" spans="1:10" ht="16.5">
      <c r="A31" s="50"/>
      <c r="B31" s="51"/>
      <c r="C31" s="52" t="s">
        <v>44</v>
      </c>
      <c r="D31" s="53">
        <f>D29+D30</f>
        <v>7885.252727584162</v>
      </c>
      <c r="E31" s="53">
        <f>E30+E29</f>
        <v>0</v>
      </c>
      <c r="F31" s="53">
        <f>F30+F29</f>
        <v>0</v>
      </c>
      <c r="G31" s="53">
        <f>G29+G30</f>
        <v>205.0165709171882</v>
      </c>
      <c r="H31" s="53">
        <f>H29+H30</f>
        <v>8090.269298501351</v>
      </c>
      <c r="J31" s="54"/>
    </row>
    <row r="32" spans="1:8" ht="16.5">
      <c r="A32" s="50"/>
      <c r="B32" s="51"/>
      <c r="C32" s="37" t="s">
        <v>37</v>
      </c>
      <c r="D32" s="53"/>
      <c r="E32" s="53"/>
      <c r="F32" s="53"/>
      <c r="G32" s="53"/>
      <c r="H32" s="55">
        <f>H14*0.15</f>
        <v>4.646789980030448</v>
      </c>
    </row>
    <row r="33" ht="28.5" customHeight="1"/>
    <row r="34" spans="4:7" ht="16.5">
      <c r="D34" s="56" t="s">
        <v>46</v>
      </c>
      <c r="F34" s="137"/>
      <c r="G34" s="137"/>
    </row>
  </sheetData>
  <sheetProtection/>
  <mergeCells count="26">
    <mergeCell ref="F1:H1"/>
    <mergeCell ref="A8:A9"/>
    <mergeCell ref="B8:B9"/>
    <mergeCell ref="C8:C9"/>
    <mergeCell ref="D8:G8"/>
    <mergeCell ref="A5:H5"/>
    <mergeCell ref="D7:F7"/>
    <mergeCell ref="A7:C7"/>
    <mergeCell ref="H14:H15"/>
    <mergeCell ref="A17:A18"/>
    <mergeCell ref="B17:B18"/>
    <mergeCell ref="A2:B2"/>
    <mergeCell ref="A3:B3"/>
    <mergeCell ref="H8:H9"/>
    <mergeCell ref="B6:H6"/>
    <mergeCell ref="E2:H2"/>
    <mergeCell ref="E3:H3"/>
    <mergeCell ref="E4:H4"/>
    <mergeCell ref="F34:G34"/>
    <mergeCell ref="E14:E15"/>
    <mergeCell ref="F14:F15"/>
    <mergeCell ref="G14:G15"/>
    <mergeCell ref="A12:A13"/>
    <mergeCell ref="A14:A15"/>
    <mergeCell ref="B14:B15"/>
    <mergeCell ref="D14:D15"/>
  </mergeCells>
  <printOptions/>
  <pageMargins left="0.24" right="0.27" top="0.21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2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2" customWidth="1"/>
    <col min="2" max="2" width="7.140625" style="2" customWidth="1"/>
    <col min="3" max="3" width="28.7109375" style="2" customWidth="1"/>
    <col min="4" max="4" width="5.8515625" style="2" customWidth="1"/>
    <col min="5" max="5" width="6.8515625" style="2" customWidth="1"/>
    <col min="6" max="6" width="10.8515625" style="2" customWidth="1"/>
    <col min="7" max="7" width="7.28125" style="2" customWidth="1"/>
    <col min="8" max="8" width="5.57421875" style="2" hidden="1" customWidth="1"/>
    <col min="9" max="9" width="6.28125" style="2" customWidth="1"/>
    <col min="10" max="10" width="7.00390625" style="2" customWidth="1"/>
    <col min="11" max="11" width="7.00390625" style="2" hidden="1" customWidth="1"/>
    <col min="12" max="12" width="5.8515625" style="2" customWidth="1"/>
    <col min="13" max="13" width="11.421875" style="2" customWidth="1"/>
    <col min="14" max="14" width="10.00390625" style="2" customWidth="1"/>
    <col min="15" max="15" width="5.00390625" style="2" customWidth="1"/>
    <col min="16" max="16" width="7.57421875" style="2" customWidth="1"/>
    <col min="17" max="17" width="8.00390625" style="2" customWidth="1"/>
    <col min="18" max="18" width="5.00390625" style="2" hidden="1" customWidth="1"/>
    <col min="19" max="19" width="7.00390625" style="2" customWidth="1"/>
    <col min="20" max="20" width="9.7109375" style="2" customWidth="1"/>
    <col min="21" max="22" width="9.140625" style="2" customWidth="1"/>
    <col min="23" max="23" width="11.8515625" style="2" bestFit="1" customWidth="1"/>
    <col min="24" max="16384" width="9.140625" style="2" customWidth="1"/>
  </cols>
  <sheetData>
    <row r="1" spans="1:251" ht="15" customHeight="1">
      <c r="A1" s="170" t="s">
        <v>94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1" ht="51.75" customHeight="1">
      <c r="A2" s="3"/>
      <c r="B2" s="170" t="s">
        <v>266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8" ht="12.75" customHeight="1">
      <c r="A3" s="171" t="s">
        <v>223</v>
      </c>
      <c r="B3" s="171"/>
      <c r="C3" s="171"/>
      <c r="D3" s="171"/>
      <c r="E3" s="171"/>
      <c r="F3" s="100">
        <v>1983.67</v>
      </c>
      <c r="G3" s="4"/>
      <c r="H3" s="5"/>
    </row>
    <row r="4" spans="1:21" ht="24" customHeight="1">
      <c r="A4" s="172" t="s">
        <v>224</v>
      </c>
      <c r="B4" s="172"/>
      <c r="C4" s="172"/>
      <c r="D4" s="172"/>
      <c r="E4" s="172"/>
      <c r="F4" s="103">
        <v>3504.41</v>
      </c>
      <c r="G4" s="6"/>
      <c r="K4" s="7"/>
      <c r="L4" s="173" t="s">
        <v>26</v>
      </c>
      <c r="M4" s="173"/>
      <c r="N4" s="173"/>
      <c r="O4" s="173"/>
      <c r="P4" s="173"/>
      <c r="Q4" s="8"/>
      <c r="R4" s="9"/>
      <c r="S4" s="10"/>
      <c r="T4" s="100">
        <f>T90</f>
        <v>6195.719973373931</v>
      </c>
      <c r="U4" s="97" t="s">
        <v>27</v>
      </c>
    </row>
    <row r="5" spans="1:21" ht="12.75" customHeight="1">
      <c r="A5" s="154" t="s">
        <v>18</v>
      </c>
      <c r="B5" s="168" t="s">
        <v>9</v>
      </c>
      <c r="C5" s="154" t="s">
        <v>7</v>
      </c>
      <c r="D5" s="168" t="s">
        <v>13</v>
      </c>
      <c r="E5" s="168" t="s">
        <v>16</v>
      </c>
      <c r="F5" s="177" t="s">
        <v>19</v>
      </c>
      <c r="G5" s="174" t="s">
        <v>20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  <c r="T5" s="168" t="s">
        <v>3</v>
      </c>
      <c r="U5" s="168" t="s">
        <v>4</v>
      </c>
    </row>
    <row r="6" spans="1:21" ht="51" customHeight="1">
      <c r="A6" s="154"/>
      <c r="B6" s="168"/>
      <c r="C6" s="154"/>
      <c r="D6" s="168"/>
      <c r="E6" s="168"/>
      <c r="F6" s="178"/>
      <c r="G6" s="169" t="s">
        <v>8</v>
      </c>
      <c r="H6" s="169"/>
      <c r="I6" s="169"/>
      <c r="J6" s="169" t="s">
        <v>10</v>
      </c>
      <c r="K6" s="169"/>
      <c r="L6" s="169"/>
      <c r="M6" s="154" t="s">
        <v>11</v>
      </c>
      <c r="N6" s="154"/>
      <c r="O6" s="154"/>
      <c r="P6" s="154"/>
      <c r="Q6" s="154"/>
      <c r="R6" s="154"/>
      <c r="S6" s="154"/>
      <c r="T6" s="168"/>
      <c r="U6" s="168"/>
    </row>
    <row r="7" spans="1:21" ht="69.75" customHeight="1">
      <c r="A7" s="154"/>
      <c r="B7" s="168"/>
      <c r="C7" s="154"/>
      <c r="D7" s="168"/>
      <c r="E7" s="168"/>
      <c r="F7" s="179"/>
      <c r="G7" s="12" t="s">
        <v>0</v>
      </c>
      <c r="H7" s="11">
        <f>F3/1000</f>
        <v>1.98367</v>
      </c>
      <c r="I7" s="12" t="s">
        <v>1</v>
      </c>
      <c r="J7" s="12" t="s">
        <v>0</v>
      </c>
      <c r="K7" s="11">
        <f>F4/1000</f>
        <v>3.50441</v>
      </c>
      <c r="L7" s="12" t="s">
        <v>1</v>
      </c>
      <c r="M7" s="11" t="s">
        <v>2</v>
      </c>
      <c r="N7" s="12" t="s">
        <v>21</v>
      </c>
      <c r="O7" s="12" t="s">
        <v>14</v>
      </c>
      <c r="P7" s="12" t="s">
        <v>16</v>
      </c>
      <c r="Q7" s="12" t="s">
        <v>5</v>
      </c>
      <c r="R7" s="9">
        <f>1.05*1.02*1.129</f>
        <v>1.209159</v>
      </c>
      <c r="S7" s="12" t="s">
        <v>6</v>
      </c>
      <c r="T7" s="168"/>
      <c r="U7" s="168"/>
    </row>
    <row r="8" spans="1:21" ht="13.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f>H$7</f>
        <v>1.98367</v>
      </c>
      <c r="I8" s="14">
        <v>8</v>
      </c>
      <c r="J8" s="14">
        <v>9</v>
      </c>
      <c r="K8" s="14">
        <f>K$7</f>
        <v>3.50441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73">
        <f>R$7</f>
        <v>1.209159</v>
      </c>
      <c r="S8" s="14">
        <v>16</v>
      </c>
      <c r="T8" s="14">
        <v>17</v>
      </c>
      <c r="U8" s="14">
        <v>18</v>
      </c>
    </row>
    <row r="9" spans="1:21" s="75" customFormat="1" ht="14.25">
      <c r="A9" s="13"/>
      <c r="B9" s="13"/>
      <c r="C9" s="64" t="s">
        <v>84</v>
      </c>
      <c r="D9" s="13"/>
      <c r="E9" s="13"/>
      <c r="F9" s="13"/>
      <c r="G9" s="13"/>
      <c r="H9" s="13"/>
      <c r="I9" s="13"/>
      <c r="J9" s="13"/>
      <c r="K9" s="14">
        <f aca="true" t="shared" si="0" ref="K9:K58">K$7</f>
        <v>3.50441</v>
      </c>
      <c r="L9" s="13"/>
      <c r="M9" s="13"/>
      <c r="N9" s="13"/>
      <c r="O9" s="13"/>
      <c r="P9" s="13"/>
      <c r="Q9" s="13"/>
      <c r="R9" s="73">
        <f aca="true" t="shared" si="1" ref="R9:R58">R$7</f>
        <v>1.209159</v>
      </c>
      <c r="S9" s="13"/>
      <c r="T9" s="16"/>
      <c r="U9" s="102"/>
    </row>
    <row r="10" spans="1:21" s="75" customFormat="1" ht="30" customHeight="1">
      <c r="A10" s="13">
        <v>1</v>
      </c>
      <c r="B10" s="16" t="s">
        <v>89</v>
      </c>
      <c r="C10" s="23" t="s">
        <v>162</v>
      </c>
      <c r="D10" s="13" t="s">
        <v>31</v>
      </c>
      <c r="E10" s="19">
        <f>232-E11</f>
        <v>196.624</v>
      </c>
      <c r="F10" s="16">
        <f>I10+L10</f>
        <v>0.21231756000000002</v>
      </c>
      <c r="G10" s="13">
        <v>0.077</v>
      </c>
      <c r="H10" s="13">
        <f>H$8</f>
        <v>1.98367</v>
      </c>
      <c r="I10" s="16">
        <f>G10*H10</f>
        <v>0.15274259</v>
      </c>
      <c r="J10" s="13">
        <f>1.7/100</f>
        <v>0.017</v>
      </c>
      <c r="K10" s="14">
        <f t="shared" si="0"/>
        <v>3.50441</v>
      </c>
      <c r="L10" s="16">
        <f>J10*K10</f>
        <v>0.059574970000000005</v>
      </c>
      <c r="M10" s="13"/>
      <c r="N10" s="13"/>
      <c r="O10" s="13"/>
      <c r="P10" s="13"/>
      <c r="Q10" s="13"/>
      <c r="R10" s="73">
        <f t="shared" si="1"/>
        <v>1.209159</v>
      </c>
      <c r="S10" s="13"/>
      <c r="T10" s="16">
        <f>E10*F10</f>
        <v>41.746727917440005</v>
      </c>
      <c r="U10" s="16">
        <f>E10*S10</f>
        <v>0</v>
      </c>
    </row>
    <row r="11" spans="1:21" s="60" customFormat="1" ht="30" customHeight="1">
      <c r="A11" s="13">
        <v>2</v>
      </c>
      <c r="B11" s="23" t="s">
        <v>124</v>
      </c>
      <c r="C11" s="23" t="s">
        <v>163</v>
      </c>
      <c r="D11" s="13" t="s">
        <v>31</v>
      </c>
      <c r="E11" s="16">
        <f>(16.58+12.9)*2*0.6</f>
        <v>35.376</v>
      </c>
      <c r="F11" s="16">
        <f>I11+L11+S11</f>
        <v>0.10083619</v>
      </c>
      <c r="G11" s="13">
        <v>0.042</v>
      </c>
      <c r="H11" s="13">
        <f aca="true" t="shared" si="2" ref="H11:H26">H$8</f>
        <v>1.98367</v>
      </c>
      <c r="I11" s="16">
        <f>G11*H11</f>
        <v>0.08331414000000001</v>
      </c>
      <c r="J11" s="13">
        <v>0.005</v>
      </c>
      <c r="K11" s="14">
        <f t="shared" si="0"/>
        <v>3.50441</v>
      </c>
      <c r="L11" s="16">
        <f>J11*K11</f>
        <v>0.01752205</v>
      </c>
      <c r="M11" s="13"/>
      <c r="N11" s="13"/>
      <c r="O11" s="13"/>
      <c r="P11" s="13"/>
      <c r="Q11" s="13"/>
      <c r="R11" s="73">
        <f t="shared" si="1"/>
        <v>1.209159</v>
      </c>
      <c r="S11" s="13"/>
      <c r="T11" s="16">
        <f>E11*F11</f>
        <v>3.56718105744</v>
      </c>
      <c r="U11" s="16">
        <f>E11*S11</f>
        <v>0</v>
      </c>
    </row>
    <row r="12" spans="1:21" s="75" customFormat="1" ht="51" customHeight="1">
      <c r="A12" s="13">
        <v>3</v>
      </c>
      <c r="B12" s="21" t="s">
        <v>95</v>
      </c>
      <c r="C12" s="23" t="s">
        <v>140</v>
      </c>
      <c r="D12" s="13" t="s">
        <v>23</v>
      </c>
      <c r="E12" s="16">
        <v>5.4</v>
      </c>
      <c r="F12" s="16">
        <f>I12+L12</f>
        <v>25.8828024</v>
      </c>
      <c r="G12" s="13">
        <v>10.08</v>
      </c>
      <c r="H12" s="13">
        <f t="shared" si="2"/>
        <v>1.98367</v>
      </c>
      <c r="I12" s="16">
        <f>G12*H12</f>
        <v>19.9953936</v>
      </c>
      <c r="J12" s="13">
        <v>1.68</v>
      </c>
      <c r="K12" s="14">
        <f t="shared" si="0"/>
        <v>3.50441</v>
      </c>
      <c r="L12" s="16">
        <f>J12*K12</f>
        <v>5.8874088</v>
      </c>
      <c r="M12" s="23"/>
      <c r="N12" s="13"/>
      <c r="O12" s="13"/>
      <c r="P12" s="13"/>
      <c r="Q12" s="13"/>
      <c r="R12" s="73">
        <f t="shared" si="1"/>
        <v>1.209159</v>
      </c>
      <c r="S12" s="16"/>
      <c r="T12" s="16">
        <f>E12*F12</f>
        <v>139.76713296</v>
      </c>
      <c r="U12" s="16">
        <f>E12*S12</f>
        <v>0</v>
      </c>
    </row>
    <row r="13" spans="1:21" s="75" customFormat="1" ht="33.75" customHeight="1">
      <c r="A13" s="13">
        <v>4</v>
      </c>
      <c r="B13" s="21" t="s">
        <v>125</v>
      </c>
      <c r="C13" s="23" t="s">
        <v>164</v>
      </c>
      <c r="D13" s="13" t="s">
        <v>32</v>
      </c>
      <c r="E13" s="19">
        <f>8*5</f>
        <v>40</v>
      </c>
      <c r="F13" s="16">
        <f>I13+L13</f>
        <v>0.28985377199999995</v>
      </c>
      <c r="G13" s="13">
        <f>0.24*0.6</f>
        <v>0.144</v>
      </c>
      <c r="H13" s="13">
        <f t="shared" si="2"/>
        <v>1.98367</v>
      </c>
      <c r="I13" s="16">
        <f>G13*H13</f>
        <v>0.28564848</v>
      </c>
      <c r="J13" s="13">
        <f>0.12/100</f>
        <v>0.0012</v>
      </c>
      <c r="K13" s="13">
        <f t="shared" si="0"/>
        <v>3.50441</v>
      </c>
      <c r="L13" s="16">
        <f>J13*K13</f>
        <v>0.004205291999999999</v>
      </c>
      <c r="M13" s="23"/>
      <c r="N13" s="13"/>
      <c r="O13" s="13"/>
      <c r="P13" s="13"/>
      <c r="Q13" s="13"/>
      <c r="R13" s="17">
        <f t="shared" si="1"/>
        <v>1.209159</v>
      </c>
      <c r="S13" s="16"/>
      <c r="T13" s="16">
        <f>E13*F13</f>
        <v>11.594150879999997</v>
      </c>
      <c r="U13" s="16"/>
    </row>
    <row r="14" spans="1:21" s="75" customFormat="1" ht="13.5">
      <c r="A14" s="159">
        <v>5</v>
      </c>
      <c r="B14" s="161" t="s">
        <v>126</v>
      </c>
      <c r="C14" s="162" t="s">
        <v>234</v>
      </c>
      <c r="D14" s="159" t="s">
        <v>23</v>
      </c>
      <c r="E14" s="163">
        <v>6.638</v>
      </c>
      <c r="F14" s="160">
        <f>I14+L14+S14+S15+S16+S17+S18</f>
        <v>177.78359027624998</v>
      </c>
      <c r="G14" s="159">
        <v>12.6</v>
      </c>
      <c r="H14" s="13">
        <f t="shared" si="2"/>
        <v>1.98367</v>
      </c>
      <c r="I14" s="160">
        <f>G14*H14</f>
        <v>24.994242</v>
      </c>
      <c r="J14" s="159">
        <v>2.1</v>
      </c>
      <c r="K14" s="14">
        <f t="shared" si="0"/>
        <v>3.50441</v>
      </c>
      <c r="L14" s="160">
        <f>J14*K14</f>
        <v>7.359261</v>
      </c>
      <c r="M14" s="119" t="s">
        <v>165</v>
      </c>
      <c r="N14" s="21" t="s">
        <v>188</v>
      </c>
      <c r="O14" s="13" t="s">
        <v>23</v>
      </c>
      <c r="P14" s="13">
        <v>1.05</v>
      </c>
      <c r="Q14" s="118">
        <v>107.083</v>
      </c>
      <c r="R14" s="73">
        <f t="shared" si="1"/>
        <v>1.209159</v>
      </c>
      <c r="S14" s="16">
        <f>P14*Q14*R14</f>
        <v>135.95439185685</v>
      </c>
      <c r="T14" s="160">
        <f>E14*F14</f>
        <v>1180.1274722537473</v>
      </c>
      <c r="U14" s="16">
        <f>E14*S14</f>
        <v>902.4652531457704</v>
      </c>
    </row>
    <row r="15" spans="1:21" s="75" customFormat="1" ht="19.5" customHeight="1">
      <c r="A15" s="159"/>
      <c r="B15" s="161"/>
      <c r="C15" s="162"/>
      <c r="D15" s="159"/>
      <c r="E15" s="163"/>
      <c r="F15" s="160"/>
      <c r="G15" s="159"/>
      <c r="H15" s="13">
        <f t="shared" si="2"/>
        <v>1.98367</v>
      </c>
      <c r="I15" s="160"/>
      <c r="J15" s="159"/>
      <c r="K15" s="14">
        <f t="shared" si="0"/>
        <v>3.50441</v>
      </c>
      <c r="L15" s="160"/>
      <c r="M15" s="61" t="s">
        <v>87</v>
      </c>
      <c r="N15" s="21"/>
      <c r="O15" s="13" t="s">
        <v>22</v>
      </c>
      <c r="P15" s="13">
        <v>4.38</v>
      </c>
      <c r="Q15" s="16">
        <v>0.5</v>
      </c>
      <c r="R15" s="73">
        <f t="shared" si="1"/>
        <v>1.209159</v>
      </c>
      <c r="S15" s="16">
        <f>P15*Q15*R15</f>
        <v>2.6480582100000003</v>
      </c>
      <c r="T15" s="160"/>
      <c r="U15" s="16">
        <f>E14*S15</f>
        <v>17.577810397980002</v>
      </c>
    </row>
    <row r="16" spans="1:21" s="75" customFormat="1" ht="27">
      <c r="A16" s="159"/>
      <c r="B16" s="161"/>
      <c r="C16" s="162"/>
      <c r="D16" s="159"/>
      <c r="E16" s="163"/>
      <c r="F16" s="160"/>
      <c r="G16" s="159"/>
      <c r="H16" s="13">
        <f t="shared" si="2"/>
        <v>1.98367</v>
      </c>
      <c r="I16" s="160"/>
      <c r="J16" s="159"/>
      <c r="K16" s="14">
        <f t="shared" si="0"/>
        <v>3.50441</v>
      </c>
      <c r="L16" s="160"/>
      <c r="M16" s="61" t="s">
        <v>127</v>
      </c>
      <c r="N16" s="21" t="s">
        <v>227</v>
      </c>
      <c r="O16" s="13" t="s">
        <v>22</v>
      </c>
      <c r="P16" s="13">
        <v>7.2</v>
      </c>
      <c r="Q16" s="108">
        <v>0.558</v>
      </c>
      <c r="R16" s="73">
        <f t="shared" si="1"/>
        <v>1.209159</v>
      </c>
      <c r="S16" s="16">
        <f>P16*Q16*R16</f>
        <v>4.857917198400001</v>
      </c>
      <c r="T16" s="160"/>
      <c r="U16" s="16">
        <f>E14*S16</f>
        <v>32.24685436297921</v>
      </c>
    </row>
    <row r="17" spans="1:21" s="75" customFormat="1" ht="13.5">
      <c r="A17" s="159"/>
      <c r="B17" s="161"/>
      <c r="C17" s="162"/>
      <c r="D17" s="159"/>
      <c r="E17" s="163"/>
      <c r="F17" s="160"/>
      <c r="G17" s="159"/>
      <c r="H17" s="13">
        <f t="shared" si="2"/>
        <v>1.98367</v>
      </c>
      <c r="I17" s="160"/>
      <c r="J17" s="159"/>
      <c r="K17" s="14">
        <f t="shared" si="0"/>
        <v>3.50441</v>
      </c>
      <c r="L17" s="160"/>
      <c r="M17" s="61" t="s">
        <v>123</v>
      </c>
      <c r="N17" s="21"/>
      <c r="O17" s="13" t="s">
        <v>22</v>
      </c>
      <c r="P17" s="13">
        <v>1.96</v>
      </c>
      <c r="Q17" s="13">
        <v>0.4</v>
      </c>
      <c r="R17" s="73">
        <f t="shared" si="1"/>
        <v>1.209159</v>
      </c>
      <c r="S17" s="16">
        <f>P17*Q17*R17</f>
        <v>0.9479806560000001</v>
      </c>
      <c r="T17" s="160"/>
      <c r="U17" s="16">
        <f>E14*S17</f>
        <v>6.292695594528001</v>
      </c>
    </row>
    <row r="18" spans="1:21" s="75" customFormat="1" ht="13.5">
      <c r="A18" s="159"/>
      <c r="B18" s="161"/>
      <c r="C18" s="162"/>
      <c r="D18" s="159"/>
      <c r="E18" s="163"/>
      <c r="F18" s="160"/>
      <c r="G18" s="159"/>
      <c r="H18" s="13">
        <f t="shared" si="2"/>
        <v>1.98367</v>
      </c>
      <c r="I18" s="160"/>
      <c r="J18" s="159"/>
      <c r="K18" s="14">
        <f t="shared" si="0"/>
        <v>3.50441</v>
      </c>
      <c r="L18" s="160"/>
      <c r="M18" s="61" t="s">
        <v>225</v>
      </c>
      <c r="N18" s="13"/>
      <c r="O18" s="13" t="s">
        <v>31</v>
      </c>
      <c r="P18" s="13">
        <v>3.38</v>
      </c>
      <c r="Q18" s="16">
        <v>0.25</v>
      </c>
      <c r="R18" s="73">
        <f t="shared" si="1"/>
        <v>1.209159</v>
      </c>
      <c r="S18" s="16">
        <f>P18*Q18*R18</f>
        <v>1.021739355</v>
      </c>
      <c r="T18" s="160"/>
      <c r="U18" s="16">
        <f>E14*S18</f>
        <v>6.78230583849</v>
      </c>
    </row>
    <row r="19" spans="1:21" s="75" customFormat="1" ht="40.5">
      <c r="A19" s="159">
        <v>6</v>
      </c>
      <c r="B19" s="161" t="s">
        <v>78</v>
      </c>
      <c r="C19" s="162" t="s">
        <v>228</v>
      </c>
      <c r="D19" s="159" t="s">
        <v>67</v>
      </c>
      <c r="E19" s="160">
        <f>(12.9+16.58)*2+(4.78+3.63)*2</f>
        <v>75.78</v>
      </c>
      <c r="F19" s="160">
        <f>I19+L19+S19+S20+S21+S22</f>
        <v>8.017770454576</v>
      </c>
      <c r="G19" s="159">
        <v>0.408</v>
      </c>
      <c r="H19" s="13">
        <f t="shared" si="2"/>
        <v>1.98367</v>
      </c>
      <c r="I19" s="160">
        <f>G19*H19</f>
        <v>0.80933736</v>
      </c>
      <c r="J19" s="159">
        <v>0.0662</v>
      </c>
      <c r="K19" s="14">
        <f t="shared" si="0"/>
        <v>3.50441</v>
      </c>
      <c r="L19" s="160">
        <f>J19*K19</f>
        <v>0.23199194199999998</v>
      </c>
      <c r="M19" s="61" t="s">
        <v>136</v>
      </c>
      <c r="N19" s="21" t="s">
        <v>230</v>
      </c>
      <c r="O19" s="13" t="s">
        <v>31</v>
      </c>
      <c r="P19" s="108">
        <v>0.72</v>
      </c>
      <c r="Q19" s="114">
        <v>3.042</v>
      </c>
      <c r="R19" s="73">
        <f t="shared" si="1"/>
        <v>1.209159</v>
      </c>
      <c r="S19" s="16">
        <f aca="true" t="shared" si="3" ref="S19:S26">P19*Q19*R19</f>
        <v>2.64834840816</v>
      </c>
      <c r="T19" s="160">
        <f>E19*F19</f>
        <v>607.5866450477694</v>
      </c>
      <c r="U19" s="16">
        <f>E19*S19</f>
        <v>200.6918423703648</v>
      </c>
    </row>
    <row r="20" spans="1:21" s="75" customFormat="1" ht="17.25" customHeight="1">
      <c r="A20" s="159"/>
      <c r="B20" s="161"/>
      <c r="C20" s="162"/>
      <c r="D20" s="159"/>
      <c r="E20" s="160"/>
      <c r="F20" s="160"/>
      <c r="G20" s="159"/>
      <c r="H20" s="13">
        <f t="shared" si="2"/>
        <v>1.98367</v>
      </c>
      <c r="I20" s="160"/>
      <c r="J20" s="159"/>
      <c r="K20" s="14">
        <f t="shared" si="0"/>
        <v>3.50441</v>
      </c>
      <c r="L20" s="160"/>
      <c r="M20" s="61" t="s">
        <v>129</v>
      </c>
      <c r="N20" s="21" t="s">
        <v>229</v>
      </c>
      <c r="O20" s="13" t="s">
        <v>22</v>
      </c>
      <c r="P20" s="18">
        <v>0.128</v>
      </c>
      <c r="Q20" s="111">
        <v>1</v>
      </c>
      <c r="R20" s="73">
        <f t="shared" si="1"/>
        <v>1.209159</v>
      </c>
      <c r="S20" s="16">
        <f t="shared" si="3"/>
        <v>0.154772352</v>
      </c>
      <c r="T20" s="160"/>
      <c r="U20" s="16">
        <f>E19*S20</f>
        <v>11.72864883456</v>
      </c>
    </row>
    <row r="21" spans="1:21" s="75" customFormat="1" ht="18" customHeight="1">
      <c r="A21" s="159"/>
      <c r="B21" s="161"/>
      <c r="C21" s="162"/>
      <c r="D21" s="159"/>
      <c r="E21" s="160"/>
      <c r="F21" s="160"/>
      <c r="G21" s="159"/>
      <c r="H21" s="13">
        <f t="shared" si="2"/>
        <v>1.98367</v>
      </c>
      <c r="I21" s="160"/>
      <c r="J21" s="159"/>
      <c r="K21" s="14">
        <f t="shared" si="0"/>
        <v>3.50441</v>
      </c>
      <c r="L21" s="160"/>
      <c r="M21" s="61" t="s">
        <v>142</v>
      </c>
      <c r="N21" s="21" t="s">
        <v>227</v>
      </c>
      <c r="O21" s="13" t="s">
        <v>22</v>
      </c>
      <c r="P21" s="18">
        <v>0.128</v>
      </c>
      <c r="Q21" s="108">
        <v>0.558</v>
      </c>
      <c r="R21" s="73">
        <f t="shared" si="1"/>
        <v>1.209159</v>
      </c>
      <c r="S21" s="16">
        <f t="shared" si="3"/>
        <v>0.08636297241600001</v>
      </c>
      <c r="T21" s="160"/>
      <c r="U21" s="16">
        <f>E19*S21</f>
        <v>6.54458604968448</v>
      </c>
    </row>
    <row r="22" spans="1:21" s="75" customFormat="1" ht="18" customHeight="1">
      <c r="A22" s="159"/>
      <c r="B22" s="161"/>
      <c r="C22" s="162"/>
      <c r="D22" s="159"/>
      <c r="E22" s="160"/>
      <c r="F22" s="160"/>
      <c r="G22" s="159"/>
      <c r="H22" s="13">
        <f t="shared" si="2"/>
        <v>1.98367</v>
      </c>
      <c r="I22" s="160"/>
      <c r="J22" s="159"/>
      <c r="K22" s="14">
        <f t="shared" si="0"/>
        <v>3.50441</v>
      </c>
      <c r="L22" s="160"/>
      <c r="M22" s="61" t="s">
        <v>71</v>
      </c>
      <c r="N22" s="21" t="s">
        <v>231</v>
      </c>
      <c r="O22" s="13" t="s">
        <v>22</v>
      </c>
      <c r="P22" s="13">
        <v>1.69</v>
      </c>
      <c r="Q22" s="111">
        <v>2</v>
      </c>
      <c r="R22" s="73">
        <f t="shared" si="1"/>
        <v>1.209159</v>
      </c>
      <c r="S22" s="16">
        <f t="shared" si="3"/>
        <v>4.08695742</v>
      </c>
      <c r="T22" s="160"/>
      <c r="U22" s="16">
        <f>E19*S22</f>
        <v>309.7096332876</v>
      </c>
    </row>
    <row r="23" spans="1:21" s="60" customFormat="1" ht="24" customHeight="1">
      <c r="A23" s="159">
        <v>7</v>
      </c>
      <c r="B23" s="161" t="s">
        <v>128</v>
      </c>
      <c r="C23" s="162" t="s">
        <v>233</v>
      </c>
      <c r="D23" s="159" t="s">
        <v>70</v>
      </c>
      <c r="E23" s="165">
        <v>1.966</v>
      </c>
      <c r="F23" s="160">
        <f>I23+L23+S23+S24</f>
        <v>868.2747081550001</v>
      </c>
      <c r="G23" s="159">
        <v>18.1</v>
      </c>
      <c r="H23" s="13">
        <f t="shared" si="2"/>
        <v>1.98367</v>
      </c>
      <c r="I23" s="160">
        <f>G23*H23</f>
        <v>35.904427000000005</v>
      </c>
      <c r="J23" s="160">
        <v>15.3</v>
      </c>
      <c r="K23" s="14">
        <f t="shared" si="0"/>
        <v>3.50441</v>
      </c>
      <c r="L23" s="160">
        <f>J23*K23</f>
        <v>53.617473000000004</v>
      </c>
      <c r="M23" s="61" t="s">
        <v>69</v>
      </c>
      <c r="N23" s="21" t="s">
        <v>232</v>
      </c>
      <c r="O23" s="13" t="s">
        <v>31</v>
      </c>
      <c r="P23" s="19">
        <v>115</v>
      </c>
      <c r="Q23" s="108">
        <v>5.583</v>
      </c>
      <c r="R23" s="73">
        <f t="shared" si="1"/>
        <v>1.209159</v>
      </c>
      <c r="S23" s="16">
        <f t="shared" si="3"/>
        <v>776.3344901550001</v>
      </c>
      <c r="T23" s="160">
        <f>E23*F23</f>
        <v>1707.0280762327302</v>
      </c>
      <c r="U23" s="16">
        <f>E23*S23</f>
        <v>1526.2736076447302</v>
      </c>
    </row>
    <row r="24" spans="1:21" s="60" customFormat="1" ht="40.5" customHeight="1">
      <c r="A24" s="159"/>
      <c r="B24" s="161"/>
      <c r="C24" s="162"/>
      <c r="D24" s="159"/>
      <c r="E24" s="165"/>
      <c r="F24" s="160"/>
      <c r="G24" s="159"/>
      <c r="H24" s="13">
        <f t="shared" si="2"/>
        <v>1.98367</v>
      </c>
      <c r="I24" s="160"/>
      <c r="J24" s="160"/>
      <c r="K24" s="14">
        <f t="shared" si="0"/>
        <v>3.50441</v>
      </c>
      <c r="L24" s="160"/>
      <c r="M24" s="61" t="s">
        <v>129</v>
      </c>
      <c r="N24" s="13" t="s">
        <v>229</v>
      </c>
      <c r="O24" s="13" t="s">
        <v>22</v>
      </c>
      <c r="P24" s="19">
        <v>2</v>
      </c>
      <c r="Q24" s="116">
        <v>1</v>
      </c>
      <c r="R24" s="73">
        <f t="shared" si="1"/>
        <v>1.209159</v>
      </c>
      <c r="S24" s="16">
        <f t="shared" si="3"/>
        <v>2.418318</v>
      </c>
      <c r="T24" s="160"/>
      <c r="U24" s="16">
        <f>E23*S24</f>
        <v>4.754413188</v>
      </c>
    </row>
    <row r="25" spans="1:21" s="75" customFormat="1" ht="29.25" customHeight="1">
      <c r="A25" s="159">
        <v>8</v>
      </c>
      <c r="B25" s="161" t="s">
        <v>72</v>
      </c>
      <c r="C25" s="162" t="s">
        <v>166</v>
      </c>
      <c r="D25" s="159" t="s">
        <v>31</v>
      </c>
      <c r="E25" s="167">
        <v>16</v>
      </c>
      <c r="F25" s="160">
        <f>I25+L25+S25+S26</f>
        <v>4.833430062900001</v>
      </c>
      <c r="G25" s="159">
        <v>0.458</v>
      </c>
      <c r="H25" s="13">
        <f t="shared" si="2"/>
        <v>1.98367</v>
      </c>
      <c r="I25" s="160">
        <f>G25*H25</f>
        <v>0.9085208600000001</v>
      </c>
      <c r="J25" s="159">
        <v>0.0041</v>
      </c>
      <c r="K25" s="14">
        <f t="shared" si="0"/>
        <v>3.50441</v>
      </c>
      <c r="L25" s="160">
        <f>J25*K25</f>
        <v>0.014368081000000001</v>
      </c>
      <c r="M25" s="61" t="s">
        <v>79</v>
      </c>
      <c r="N25" s="21" t="s">
        <v>230</v>
      </c>
      <c r="O25" s="13" t="s">
        <v>31</v>
      </c>
      <c r="P25" s="13">
        <v>1.05</v>
      </c>
      <c r="Q25" s="108">
        <v>3.042</v>
      </c>
      <c r="R25" s="73">
        <f t="shared" si="1"/>
        <v>1.209159</v>
      </c>
      <c r="S25" s="16">
        <f t="shared" si="3"/>
        <v>3.8621747619000004</v>
      </c>
      <c r="T25" s="160">
        <f>E25*F25</f>
        <v>77.33488100640001</v>
      </c>
      <c r="U25" s="16">
        <f>E25*S25</f>
        <v>61.79479619040001</v>
      </c>
    </row>
    <row r="26" spans="1:21" s="75" customFormat="1" ht="21" customHeight="1">
      <c r="A26" s="159"/>
      <c r="B26" s="161"/>
      <c r="C26" s="162"/>
      <c r="D26" s="159"/>
      <c r="E26" s="167"/>
      <c r="F26" s="160"/>
      <c r="G26" s="159"/>
      <c r="H26" s="13">
        <f t="shared" si="2"/>
        <v>1.98367</v>
      </c>
      <c r="I26" s="160"/>
      <c r="J26" s="159"/>
      <c r="K26" s="14">
        <f t="shared" si="0"/>
        <v>3.50441</v>
      </c>
      <c r="L26" s="160"/>
      <c r="M26" s="61" t="s">
        <v>73</v>
      </c>
      <c r="N26" s="21" t="s">
        <v>229</v>
      </c>
      <c r="O26" s="13" t="s">
        <v>22</v>
      </c>
      <c r="P26" s="13">
        <v>0.04</v>
      </c>
      <c r="Q26" s="111">
        <v>1</v>
      </c>
      <c r="R26" s="73">
        <f t="shared" si="1"/>
        <v>1.209159</v>
      </c>
      <c r="S26" s="16">
        <f t="shared" si="3"/>
        <v>0.048366360000000004</v>
      </c>
      <c r="T26" s="160"/>
      <c r="U26" s="16">
        <f>E25*S26</f>
        <v>0.7738617600000001</v>
      </c>
    </row>
    <row r="27" spans="1:21" s="75" customFormat="1" ht="18.75" customHeight="1">
      <c r="A27" s="159">
        <v>9</v>
      </c>
      <c r="B27" s="159" t="s">
        <v>137</v>
      </c>
      <c r="C27" s="162" t="s">
        <v>138</v>
      </c>
      <c r="D27" s="159" t="s">
        <v>32</v>
      </c>
      <c r="E27" s="167">
        <f>5.2*8</f>
        <v>41.6</v>
      </c>
      <c r="F27" s="160">
        <f>I27+L27+S27+S28+S29</f>
        <v>4.928651626830001</v>
      </c>
      <c r="G27" s="159">
        <v>0.24</v>
      </c>
      <c r="H27" s="13">
        <f>H$12</f>
        <v>1.98367</v>
      </c>
      <c r="I27" s="160">
        <f>G27*H27</f>
        <v>0.47608079999999997</v>
      </c>
      <c r="J27" s="159"/>
      <c r="K27" s="14">
        <f t="shared" si="0"/>
        <v>3.50441</v>
      </c>
      <c r="L27" s="160">
        <f>J27*K27</f>
        <v>0</v>
      </c>
      <c r="M27" s="61" t="s">
        <v>17</v>
      </c>
      <c r="N27" s="13" t="s">
        <v>235</v>
      </c>
      <c r="O27" s="13" t="s">
        <v>32</v>
      </c>
      <c r="P27" s="13">
        <v>1.03</v>
      </c>
      <c r="Q27" s="114">
        <v>1.729</v>
      </c>
      <c r="R27" s="73">
        <f t="shared" si="1"/>
        <v>1.209159</v>
      </c>
      <c r="S27" s="16">
        <f aca="true" t="shared" si="4" ref="S27:S36">P27*Q27*R27</f>
        <v>2.1533549883300003</v>
      </c>
      <c r="T27" s="160">
        <f>E27*F27</f>
        <v>205.03190767612804</v>
      </c>
      <c r="U27" s="16">
        <f>E27*S27</f>
        <v>89.57956751452801</v>
      </c>
    </row>
    <row r="28" spans="1:21" s="75" customFormat="1" ht="20.25" customHeight="1">
      <c r="A28" s="159"/>
      <c r="B28" s="159"/>
      <c r="C28" s="162"/>
      <c r="D28" s="159"/>
      <c r="E28" s="167"/>
      <c r="F28" s="160"/>
      <c r="G28" s="159"/>
      <c r="H28" s="13">
        <f>H$12</f>
        <v>1.98367</v>
      </c>
      <c r="I28" s="160"/>
      <c r="J28" s="159"/>
      <c r="K28" s="14">
        <f t="shared" si="0"/>
        <v>3.50441</v>
      </c>
      <c r="L28" s="160"/>
      <c r="M28" s="61" t="s">
        <v>71</v>
      </c>
      <c r="N28" s="21" t="s">
        <v>231</v>
      </c>
      <c r="O28" s="13" t="s">
        <v>22</v>
      </c>
      <c r="P28" s="13">
        <v>0.95</v>
      </c>
      <c r="Q28" s="111">
        <v>2</v>
      </c>
      <c r="R28" s="73">
        <f t="shared" si="1"/>
        <v>1.209159</v>
      </c>
      <c r="S28" s="16">
        <f t="shared" si="4"/>
        <v>2.2974021000000002</v>
      </c>
      <c r="T28" s="160"/>
      <c r="U28" s="16">
        <f>E27*S28</f>
        <v>95.57192736000002</v>
      </c>
    </row>
    <row r="29" spans="1:21" s="75" customFormat="1" ht="20.25" customHeight="1">
      <c r="A29" s="159"/>
      <c r="B29" s="159"/>
      <c r="C29" s="162"/>
      <c r="D29" s="159"/>
      <c r="E29" s="167"/>
      <c r="F29" s="160"/>
      <c r="G29" s="159"/>
      <c r="H29" s="13">
        <f>H$12</f>
        <v>1.98367</v>
      </c>
      <c r="I29" s="160"/>
      <c r="J29" s="159"/>
      <c r="K29" s="14">
        <f t="shared" si="0"/>
        <v>3.50441</v>
      </c>
      <c r="L29" s="160"/>
      <c r="M29" s="61" t="s">
        <v>87</v>
      </c>
      <c r="N29" s="21"/>
      <c r="O29" s="13" t="s">
        <v>22</v>
      </c>
      <c r="P29" s="13">
        <v>0.003</v>
      </c>
      <c r="Q29" s="16">
        <v>0.5</v>
      </c>
      <c r="R29" s="73">
        <f t="shared" si="1"/>
        <v>1.209159</v>
      </c>
      <c r="S29" s="18">
        <f t="shared" si="4"/>
        <v>0.0018137385000000002</v>
      </c>
      <c r="T29" s="160"/>
      <c r="U29" s="16">
        <f>E27*S29</f>
        <v>0.07545152160000002</v>
      </c>
    </row>
    <row r="30" spans="1:21" s="75" customFormat="1" ht="21" customHeight="1">
      <c r="A30" s="13">
        <v>10</v>
      </c>
      <c r="B30" s="20" t="s">
        <v>29</v>
      </c>
      <c r="C30" s="61" t="s">
        <v>139</v>
      </c>
      <c r="D30" s="13" t="s">
        <v>33</v>
      </c>
      <c r="E30" s="19">
        <v>8</v>
      </c>
      <c r="F30" s="16">
        <f>I30+L30+S30</f>
        <v>2.2671731250000002</v>
      </c>
      <c r="G30" s="13"/>
      <c r="H30" s="13">
        <f>H$12</f>
        <v>1.98367</v>
      </c>
      <c r="I30" s="16">
        <f>G30*H30</f>
        <v>0</v>
      </c>
      <c r="J30" s="13"/>
      <c r="K30" s="14">
        <f t="shared" si="0"/>
        <v>3.50441</v>
      </c>
      <c r="L30" s="16">
        <f>J30*K30</f>
        <v>0</v>
      </c>
      <c r="M30" s="61" t="s">
        <v>88</v>
      </c>
      <c r="N30" s="13" t="s">
        <v>236</v>
      </c>
      <c r="O30" s="13" t="s">
        <v>33</v>
      </c>
      <c r="P30" s="19">
        <v>1</v>
      </c>
      <c r="Q30" s="108">
        <v>1.875</v>
      </c>
      <c r="R30" s="73">
        <f t="shared" si="1"/>
        <v>1.209159</v>
      </c>
      <c r="S30" s="16">
        <f t="shared" si="4"/>
        <v>2.2671731250000002</v>
      </c>
      <c r="T30" s="16">
        <f>E30*F30</f>
        <v>18.137385000000002</v>
      </c>
      <c r="U30" s="16">
        <f>E30*S30</f>
        <v>18.137385000000002</v>
      </c>
    </row>
    <row r="31" spans="1:21" s="75" customFormat="1" ht="33.75" customHeight="1">
      <c r="A31" s="159">
        <v>11</v>
      </c>
      <c r="B31" s="159" t="s">
        <v>130</v>
      </c>
      <c r="C31" s="162" t="s">
        <v>131</v>
      </c>
      <c r="D31" s="159" t="s">
        <v>23</v>
      </c>
      <c r="E31" s="164">
        <v>6.638</v>
      </c>
      <c r="F31" s="160">
        <f>I31+L31+S31+S32+S33</f>
        <v>6.104337303000001</v>
      </c>
      <c r="G31" s="159">
        <v>0.46</v>
      </c>
      <c r="H31" s="13">
        <f aca="true" t="shared" si="5" ref="H31:H36">H$7</f>
        <v>1.98367</v>
      </c>
      <c r="I31" s="160">
        <f>G31*H31</f>
        <v>0.9124882000000001</v>
      </c>
      <c r="J31" s="159">
        <v>0.13</v>
      </c>
      <c r="K31" s="14">
        <f t="shared" si="0"/>
        <v>3.50441</v>
      </c>
      <c r="L31" s="160">
        <f>J31*K31</f>
        <v>0.4555733</v>
      </c>
      <c r="M31" s="61" t="s">
        <v>132</v>
      </c>
      <c r="N31" s="21"/>
      <c r="O31" s="13" t="s">
        <v>22</v>
      </c>
      <c r="P31" s="13">
        <v>7.2</v>
      </c>
      <c r="Q31" s="13">
        <v>0.4</v>
      </c>
      <c r="R31" s="73">
        <f t="shared" si="1"/>
        <v>1.209159</v>
      </c>
      <c r="S31" s="16">
        <f t="shared" si="4"/>
        <v>3.4823779200000007</v>
      </c>
      <c r="T31" s="160">
        <f>E31*F31</f>
        <v>40.520591017314004</v>
      </c>
      <c r="U31" s="16">
        <f>E31*S31</f>
        <v>23.116024632960006</v>
      </c>
    </row>
    <row r="32" spans="1:21" s="75" customFormat="1" ht="18.75" customHeight="1">
      <c r="A32" s="159"/>
      <c r="B32" s="159"/>
      <c r="C32" s="162"/>
      <c r="D32" s="159"/>
      <c r="E32" s="164"/>
      <c r="F32" s="160"/>
      <c r="G32" s="159"/>
      <c r="H32" s="13">
        <f t="shared" si="5"/>
        <v>1.98367</v>
      </c>
      <c r="I32" s="160"/>
      <c r="J32" s="159"/>
      <c r="K32" s="14">
        <f t="shared" si="0"/>
        <v>3.50441</v>
      </c>
      <c r="L32" s="160"/>
      <c r="M32" s="61" t="s">
        <v>143</v>
      </c>
      <c r="N32" s="13"/>
      <c r="O32" s="13" t="s">
        <v>22</v>
      </c>
      <c r="P32" s="13">
        <v>1.79</v>
      </c>
      <c r="Q32" s="13">
        <v>0.4</v>
      </c>
      <c r="R32" s="73">
        <f t="shared" si="1"/>
        <v>1.209159</v>
      </c>
      <c r="S32" s="16">
        <f t="shared" si="4"/>
        <v>0.8657578440000002</v>
      </c>
      <c r="T32" s="160"/>
      <c r="U32" s="16">
        <f>E31*S32</f>
        <v>5.746900568472001</v>
      </c>
    </row>
    <row r="33" spans="1:21" s="75" customFormat="1" ht="19.5" customHeight="1">
      <c r="A33" s="159"/>
      <c r="B33" s="159"/>
      <c r="C33" s="162"/>
      <c r="D33" s="159"/>
      <c r="E33" s="164"/>
      <c r="F33" s="160"/>
      <c r="G33" s="159"/>
      <c r="H33" s="13">
        <f t="shared" si="5"/>
        <v>1.98367</v>
      </c>
      <c r="I33" s="160"/>
      <c r="J33" s="159"/>
      <c r="K33" s="14">
        <f t="shared" si="0"/>
        <v>3.50441</v>
      </c>
      <c r="L33" s="160"/>
      <c r="M33" s="61" t="s">
        <v>133</v>
      </c>
      <c r="N33" s="13"/>
      <c r="O33" s="13" t="s">
        <v>22</v>
      </c>
      <c r="P33" s="13">
        <v>1.07</v>
      </c>
      <c r="Q33" s="13">
        <v>0.3</v>
      </c>
      <c r="R33" s="73">
        <f t="shared" si="1"/>
        <v>1.209159</v>
      </c>
      <c r="S33" s="16">
        <f t="shared" si="4"/>
        <v>0.38814003900000005</v>
      </c>
      <c r="T33" s="160"/>
      <c r="U33" s="16">
        <f>E31*S33</f>
        <v>2.576473578882</v>
      </c>
    </row>
    <row r="34" spans="1:21" s="75" customFormat="1" ht="31.5" customHeight="1">
      <c r="A34" s="159">
        <v>12</v>
      </c>
      <c r="B34" s="159" t="s">
        <v>134</v>
      </c>
      <c r="C34" s="162" t="s">
        <v>141</v>
      </c>
      <c r="D34" s="159" t="s">
        <v>135</v>
      </c>
      <c r="E34" s="166">
        <v>2.32</v>
      </c>
      <c r="F34" s="160">
        <f>I34+L34+S34+S35+S36</f>
        <v>19.823130990000003</v>
      </c>
      <c r="G34" s="159">
        <v>1.6</v>
      </c>
      <c r="H34" s="13">
        <f t="shared" si="5"/>
        <v>1.98367</v>
      </c>
      <c r="I34" s="160">
        <f>G34*H34</f>
        <v>3.1738720000000002</v>
      </c>
      <c r="J34" s="159">
        <v>0.4</v>
      </c>
      <c r="K34" s="14">
        <f t="shared" si="0"/>
        <v>3.50441</v>
      </c>
      <c r="L34" s="160">
        <f>J34*K34</f>
        <v>1.401764</v>
      </c>
      <c r="M34" s="61" t="s">
        <v>132</v>
      </c>
      <c r="N34" s="21"/>
      <c r="O34" s="13" t="s">
        <v>22</v>
      </c>
      <c r="P34" s="13">
        <v>23.1</v>
      </c>
      <c r="Q34" s="13">
        <v>0.4</v>
      </c>
      <c r="R34" s="73">
        <f t="shared" si="1"/>
        <v>1.209159</v>
      </c>
      <c r="S34" s="16">
        <f t="shared" si="4"/>
        <v>11.172629160000001</v>
      </c>
      <c r="T34" s="160">
        <f>E34*F34</f>
        <v>45.9896638968</v>
      </c>
      <c r="U34" s="16">
        <f>E34*S34</f>
        <v>25.9204996512</v>
      </c>
    </row>
    <row r="35" spans="1:21" s="75" customFormat="1" ht="20.25" customHeight="1">
      <c r="A35" s="159"/>
      <c r="B35" s="159"/>
      <c r="C35" s="162"/>
      <c r="D35" s="159"/>
      <c r="E35" s="166"/>
      <c r="F35" s="160"/>
      <c r="G35" s="159"/>
      <c r="H35" s="13">
        <f t="shared" si="5"/>
        <v>1.98367</v>
      </c>
      <c r="I35" s="160"/>
      <c r="J35" s="159"/>
      <c r="K35" s="14">
        <f t="shared" si="0"/>
        <v>3.50441</v>
      </c>
      <c r="L35" s="160"/>
      <c r="M35" s="61" t="s">
        <v>143</v>
      </c>
      <c r="N35" s="13"/>
      <c r="O35" s="13" t="s">
        <v>22</v>
      </c>
      <c r="P35" s="13">
        <v>5.8</v>
      </c>
      <c r="Q35" s="13">
        <v>0.4</v>
      </c>
      <c r="R35" s="73">
        <f t="shared" si="1"/>
        <v>1.209159</v>
      </c>
      <c r="S35" s="16">
        <f t="shared" si="4"/>
        <v>2.80524888</v>
      </c>
      <c r="T35" s="160"/>
      <c r="U35" s="16">
        <f>E34*S35</f>
        <v>6.5081774016</v>
      </c>
    </row>
    <row r="36" spans="1:21" s="75" customFormat="1" ht="17.25" customHeight="1">
      <c r="A36" s="159"/>
      <c r="B36" s="159"/>
      <c r="C36" s="162"/>
      <c r="D36" s="159"/>
      <c r="E36" s="166"/>
      <c r="F36" s="160"/>
      <c r="G36" s="159"/>
      <c r="H36" s="13">
        <f t="shared" si="5"/>
        <v>1.98367</v>
      </c>
      <c r="I36" s="160"/>
      <c r="J36" s="159"/>
      <c r="K36" s="14">
        <f t="shared" si="0"/>
        <v>3.50441</v>
      </c>
      <c r="L36" s="160"/>
      <c r="M36" s="61" t="s">
        <v>133</v>
      </c>
      <c r="N36" s="13"/>
      <c r="O36" s="13" t="s">
        <v>22</v>
      </c>
      <c r="P36" s="13">
        <v>3.5</v>
      </c>
      <c r="Q36" s="13">
        <v>0.3</v>
      </c>
      <c r="R36" s="73">
        <f t="shared" si="1"/>
        <v>1.209159</v>
      </c>
      <c r="S36" s="16">
        <f t="shared" si="4"/>
        <v>1.26961695</v>
      </c>
      <c r="T36" s="160"/>
      <c r="U36" s="16">
        <f>E34*S36</f>
        <v>2.945511324</v>
      </c>
    </row>
    <row r="37" spans="1:21" s="75" customFormat="1" ht="20.25" customHeight="1">
      <c r="A37" s="13"/>
      <c r="B37" s="13"/>
      <c r="C37" s="15" t="s">
        <v>44</v>
      </c>
      <c r="D37" s="13"/>
      <c r="E37" s="16"/>
      <c r="F37" s="16"/>
      <c r="G37" s="13"/>
      <c r="H37" s="13"/>
      <c r="I37" s="16"/>
      <c r="J37" s="13"/>
      <c r="K37" s="14">
        <f t="shared" si="0"/>
        <v>3.50441</v>
      </c>
      <c r="L37" s="16"/>
      <c r="M37" s="61"/>
      <c r="N37" s="13"/>
      <c r="O37" s="13"/>
      <c r="P37" s="13"/>
      <c r="Q37" s="13"/>
      <c r="R37" s="73">
        <f t="shared" si="1"/>
        <v>1.209159</v>
      </c>
      <c r="S37" s="16"/>
      <c r="T37" s="25">
        <f>SUM(T10:T36)</f>
        <v>4078.4318149457686</v>
      </c>
      <c r="U37" s="25">
        <f>SUM(U10:U36)</f>
        <v>3357.814227218329</v>
      </c>
    </row>
    <row r="38" spans="1:21" s="75" customFormat="1" ht="20.25" customHeight="1">
      <c r="A38" s="13"/>
      <c r="B38" s="13"/>
      <c r="C38" s="15" t="s">
        <v>175</v>
      </c>
      <c r="D38" s="13"/>
      <c r="E38" s="16"/>
      <c r="F38" s="16"/>
      <c r="G38" s="13"/>
      <c r="H38" s="13"/>
      <c r="I38" s="16"/>
      <c r="J38" s="13"/>
      <c r="K38" s="14"/>
      <c r="L38" s="16"/>
      <c r="M38" s="61"/>
      <c r="N38" s="13"/>
      <c r="O38" s="13"/>
      <c r="P38" s="13"/>
      <c r="Q38" s="13"/>
      <c r="R38" s="73"/>
      <c r="S38" s="16"/>
      <c r="T38" s="25"/>
      <c r="U38" s="25"/>
    </row>
    <row r="39" spans="1:169" s="60" customFormat="1" ht="46.5" customHeight="1">
      <c r="A39" s="14">
        <v>1</v>
      </c>
      <c r="B39" s="20" t="s">
        <v>177</v>
      </c>
      <c r="C39" s="61" t="s">
        <v>176</v>
      </c>
      <c r="D39" s="13" t="s">
        <v>33</v>
      </c>
      <c r="E39" s="111">
        <v>3</v>
      </c>
      <c r="F39" s="16">
        <f>I39+L39+S39</f>
        <v>6.9825184</v>
      </c>
      <c r="G39" s="16">
        <v>3.52</v>
      </c>
      <c r="H39" s="13">
        <f>H$7</f>
        <v>1.98367</v>
      </c>
      <c r="I39" s="16">
        <f>G39*H39</f>
        <v>6.9825184</v>
      </c>
      <c r="J39" s="16"/>
      <c r="K39" s="67">
        <f>K$7</f>
        <v>3.50441</v>
      </c>
      <c r="L39" s="16">
        <f>J39*K39</f>
        <v>0</v>
      </c>
      <c r="M39" s="13"/>
      <c r="N39" s="13"/>
      <c r="O39" s="13"/>
      <c r="P39" s="19"/>
      <c r="Q39" s="13"/>
      <c r="R39" s="67">
        <f>R$7</f>
        <v>1.209159</v>
      </c>
      <c r="S39" s="57">
        <f aca="true" t="shared" si="6" ref="S39:S44">P39*Q39*R39</f>
        <v>0</v>
      </c>
      <c r="T39" s="57">
        <f>E39*F39</f>
        <v>20.9475552</v>
      </c>
      <c r="U39" s="57">
        <f>E39*S39</f>
        <v>0</v>
      </c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</row>
    <row r="40" spans="1:169" s="60" customFormat="1" ht="21.75" customHeight="1">
      <c r="A40" s="14">
        <v>2</v>
      </c>
      <c r="B40" s="20" t="s">
        <v>29</v>
      </c>
      <c r="C40" s="61" t="s">
        <v>178</v>
      </c>
      <c r="D40" s="13" t="s">
        <v>32</v>
      </c>
      <c r="E40" s="111">
        <v>54</v>
      </c>
      <c r="F40" s="16">
        <f>I40+L40+S40</f>
        <v>1.1716750710000001</v>
      </c>
      <c r="G40" s="16"/>
      <c r="H40" s="13">
        <f>H$7</f>
        <v>1.98367</v>
      </c>
      <c r="I40" s="16">
        <f>G40*H40</f>
        <v>0</v>
      </c>
      <c r="J40" s="16"/>
      <c r="K40" s="67">
        <f t="shared" si="0"/>
        <v>3.50441</v>
      </c>
      <c r="L40" s="16">
        <f>J40*K40</f>
        <v>0</v>
      </c>
      <c r="M40" s="61" t="s">
        <v>17</v>
      </c>
      <c r="N40" s="13" t="s">
        <v>187</v>
      </c>
      <c r="O40" s="13" t="s">
        <v>32</v>
      </c>
      <c r="P40" s="19">
        <v>1</v>
      </c>
      <c r="Q40" s="108">
        <v>0.969</v>
      </c>
      <c r="R40" s="67">
        <f t="shared" si="1"/>
        <v>1.209159</v>
      </c>
      <c r="S40" s="57">
        <f t="shared" si="6"/>
        <v>1.1716750710000001</v>
      </c>
      <c r="T40" s="57">
        <f>E40*F40</f>
        <v>63.27045383400001</v>
      </c>
      <c r="U40" s="57">
        <f>E40*S40</f>
        <v>63.27045383400001</v>
      </c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</row>
    <row r="41" spans="1:169" s="60" customFormat="1" ht="16.5" customHeight="1">
      <c r="A41" s="14">
        <v>3</v>
      </c>
      <c r="B41" s="20" t="s">
        <v>29</v>
      </c>
      <c r="C41" s="61" t="s">
        <v>180</v>
      </c>
      <c r="D41" s="13" t="s">
        <v>23</v>
      </c>
      <c r="E41" s="114">
        <f>60*0.06*0.03</f>
        <v>0.10799999999999998</v>
      </c>
      <c r="F41" s="16">
        <f>I41+L41+S41</f>
        <v>156.73682426094</v>
      </c>
      <c r="G41" s="16"/>
      <c r="H41" s="13">
        <f>H$7</f>
        <v>1.98367</v>
      </c>
      <c r="I41" s="16">
        <f>G41*H41</f>
        <v>0</v>
      </c>
      <c r="J41" s="16"/>
      <c r="K41" s="67">
        <f t="shared" si="0"/>
        <v>3.50441</v>
      </c>
      <c r="L41" s="16">
        <f>J41*K41</f>
        <v>0</v>
      </c>
      <c r="M41" s="61" t="s">
        <v>179</v>
      </c>
      <c r="N41" s="21" t="s">
        <v>188</v>
      </c>
      <c r="O41" s="13" t="s">
        <v>23</v>
      </c>
      <c r="P41" s="19">
        <v>1.02</v>
      </c>
      <c r="Q41" s="108">
        <v>127.083</v>
      </c>
      <c r="R41" s="67">
        <f t="shared" si="1"/>
        <v>1.209159</v>
      </c>
      <c r="S41" s="57">
        <f t="shared" si="6"/>
        <v>156.73682426094</v>
      </c>
      <c r="T41" s="57">
        <f>E41*F41</f>
        <v>16.92757702018152</v>
      </c>
      <c r="U41" s="57">
        <f>E41*S41</f>
        <v>16.92757702018152</v>
      </c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</row>
    <row r="42" spans="1:21" s="60" customFormat="1" ht="23.25" customHeight="1">
      <c r="A42" s="154">
        <v>4</v>
      </c>
      <c r="B42" s="155" t="s">
        <v>74</v>
      </c>
      <c r="C42" s="156" t="s">
        <v>185</v>
      </c>
      <c r="D42" s="154" t="s">
        <v>77</v>
      </c>
      <c r="E42" s="157">
        <f>E40*0.03*4</f>
        <v>6.4799999999999995</v>
      </c>
      <c r="F42" s="158">
        <f>I42+L42+S42+S43</f>
        <v>1.0266881753840427</v>
      </c>
      <c r="G42" s="154">
        <f>38.4/100</f>
        <v>0.384</v>
      </c>
      <c r="H42" s="11">
        <f>H$8</f>
        <v>1.98367</v>
      </c>
      <c r="I42" s="158">
        <f>G42*H42</f>
        <v>0.7617292800000001</v>
      </c>
      <c r="J42" s="154"/>
      <c r="K42" s="11">
        <f>K$8</f>
        <v>3.50441</v>
      </c>
      <c r="L42" s="158">
        <f>J42*K42</f>
        <v>0</v>
      </c>
      <c r="M42" s="59" t="s">
        <v>75</v>
      </c>
      <c r="N42" s="62" t="s">
        <v>186</v>
      </c>
      <c r="O42" s="11" t="s">
        <v>22</v>
      </c>
      <c r="P42" s="11">
        <v>0.244</v>
      </c>
      <c r="Q42" s="109">
        <v>0.8</v>
      </c>
      <c r="R42" s="74">
        <f>R$8</f>
        <v>1.209159</v>
      </c>
      <c r="S42" s="57">
        <f t="shared" si="6"/>
        <v>0.23602783680000003</v>
      </c>
      <c r="T42" s="158">
        <f>E42*F42</f>
        <v>6.652939376488596</v>
      </c>
      <c r="U42" s="57">
        <f>E42*S42</f>
        <v>1.529460382464</v>
      </c>
    </row>
    <row r="43" spans="1:21" s="60" customFormat="1" ht="20.25" customHeight="1">
      <c r="A43" s="154"/>
      <c r="B43" s="155"/>
      <c r="C43" s="156"/>
      <c r="D43" s="154"/>
      <c r="E43" s="157"/>
      <c r="F43" s="158"/>
      <c r="G43" s="154"/>
      <c r="H43" s="11">
        <f>H$8</f>
        <v>1.98367</v>
      </c>
      <c r="I43" s="158"/>
      <c r="J43" s="154"/>
      <c r="K43" s="11">
        <f>K$8</f>
        <v>3.50441</v>
      </c>
      <c r="L43" s="158"/>
      <c r="M43" s="59" t="s">
        <v>76</v>
      </c>
      <c r="N43" s="11" t="s">
        <v>171</v>
      </c>
      <c r="O43" s="11" t="s">
        <v>22</v>
      </c>
      <c r="P43" s="11">
        <f>2.7/100</f>
        <v>0.027000000000000003</v>
      </c>
      <c r="Q43" s="110">
        <f>0.833/0.94</f>
        <v>0.8861702127659574</v>
      </c>
      <c r="R43" s="74">
        <f>R$8</f>
        <v>1.209159</v>
      </c>
      <c r="S43" s="57">
        <f t="shared" si="6"/>
        <v>0.02893105858404256</v>
      </c>
      <c r="T43" s="158"/>
      <c r="U43" s="57">
        <f>E42*S43</f>
        <v>0.18747325962459577</v>
      </c>
    </row>
    <row r="44" spans="1:21" s="60" customFormat="1" ht="33" customHeight="1">
      <c r="A44" s="13">
        <v>5</v>
      </c>
      <c r="B44" s="20" t="s">
        <v>181</v>
      </c>
      <c r="C44" s="61" t="s">
        <v>182</v>
      </c>
      <c r="D44" s="13" t="s">
        <v>77</v>
      </c>
      <c r="E44" s="116">
        <f>0.09*2*60</f>
        <v>10.799999999999999</v>
      </c>
      <c r="F44" s="16">
        <f>I44+L44+S44</f>
        <v>0.7398405397760001</v>
      </c>
      <c r="G44" s="13">
        <v>0.074</v>
      </c>
      <c r="H44" s="13">
        <f>H$8</f>
        <v>1.98367</v>
      </c>
      <c r="I44" s="16">
        <f>G44*H44</f>
        <v>0.14679158</v>
      </c>
      <c r="J44" s="13"/>
      <c r="K44" s="13">
        <f>K$8</f>
        <v>3.50441</v>
      </c>
      <c r="L44" s="16">
        <f>J44*K44</f>
        <v>0</v>
      </c>
      <c r="M44" s="61" t="s">
        <v>183</v>
      </c>
      <c r="N44" s="22" t="s">
        <v>184</v>
      </c>
      <c r="O44" s="13" t="s">
        <v>22</v>
      </c>
      <c r="P44" s="13">
        <v>0.208</v>
      </c>
      <c r="Q44" s="108">
        <v>2.358</v>
      </c>
      <c r="R44" s="13">
        <f>R$8</f>
        <v>1.209159</v>
      </c>
      <c r="S44" s="16">
        <f t="shared" si="6"/>
        <v>0.593048959776</v>
      </c>
      <c r="T44" s="16">
        <f>E44*F44</f>
        <v>7.9902778295807995</v>
      </c>
      <c r="U44" s="16">
        <f>E44*P44*Q44</f>
        <v>5.297011199999999</v>
      </c>
    </row>
    <row r="45" spans="1:21" s="60" customFormat="1" ht="25.5" customHeight="1">
      <c r="A45" s="13"/>
      <c r="B45" s="20"/>
      <c r="C45" s="15" t="s">
        <v>44</v>
      </c>
      <c r="D45" s="13"/>
      <c r="E45" s="16"/>
      <c r="F45" s="16"/>
      <c r="G45" s="13"/>
      <c r="H45" s="13"/>
      <c r="I45" s="16"/>
      <c r="J45" s="13"/>
      <c r="K45" s="13"/>
      <c r="L45" s="16"/>
      <c r="M45" s="61"/>
      <c r="N45" s="22"/>
      <c r="O45" s="13"/>
      <c r="P45" s="13"/>
      <c r="Q45" s="13"/>
      <c r="R45" s="13"/>
      <c r="S45" s="16"/>
      <c r="T45" s="25">
        <f>SUM(T39:T44)</f>
        <v>115.78880326025092</v>
      </c>
      <c r="U45" s="25">
        <f>SUM(U39:U44)</f>
        <v>87.21197569627012</v>
      </c>
    </row>
    <row r="46" spans="1:21" s="60" customFormat="1" ht="25.5" customHeight="1">
      <c r="A46" s="13"/>
      <c r="B46" s="20"/>
      <c r="C46" s="15" t="s">
        <v>226</v>
      </c>
      <c r="D46" s="13"/>
      <c r="E46" s="16"/>
      <c r="F46" s="16"/>
      <c r="G46" s="13"/>
      <c r="H46" s="13"/>
      <c r="I46" s="16"/>
      <c r="J46" s="13"/>
      <c r="K46" s="13"/>
      <c r="L46" s="16"/>
      <c r="M46" s="61"/>
      <c r="N46" s="22"/>
      <c r="O46" s="13"/>
      <c r="P46" s="13"/>
      <c r="Q46" s="13"/>
      <c r="R46" s="13"/>
      <c r="S46" s="16"/>
      <c r="T46" s="25"/>
      <c r="U46" s="16"/>
    </row>
    <row r="47" spans="1:21" s="104" customFormat="1" ht="21.75" customHeight="1">
      <c r="A47" s="11"/>
      <c r="B47" s="20"/>
      <c r="C47" s="69" t="s">
        <v>173</v>
      </c>
      <c r="D47" s="13"/>
      <c r="E47" s="16"/>
      <c r="F47" s="16"/>
      <c r="G47" s="13"/>
      <c r="H47" s="13"/>
      <c r="I47" s="16"/>
      <c r="J47" s="18"/>
      <c r="K47" s="67"/>
      <c r="L47" s="16"/>
      <c r="M47" s="13"/>
      <c r="N47" s="11"/>
      <c r="O47" s="11"/>
      <c r="P47" s="11"/>
      <c r="Q47" s="66"/>
      <c r="R47" s="67"/>
      <c r="S47" s="57"/>
      <c r="T47" s="57"/>
      <c r="U47" s="57"/>
    </row>
    <row r="48" spans="1:21" s="60" customFormat="1" ht="60.75" customHeight="1">
      <c r="A48" s="13">
        <v>1</v>
      </c>
      <c r="B48" s="20" t="s">
        <v>189</v>
      </c>
      <c r="C48" s="61" t="s">
        <v>192</v>
      </c>
      <c r="D48" s="13" t="s">
        <v>23</v>
      </c>
      <c r="E48" s="111">
        <v>16</v>
      </c>
      <c r="F48" s="16">
        <f>I48+L48</f>
        <v>0.6268342587</v>
      </c>
      <c r="G48" s="22">
        <v>0.0106</v>
      </c>
      <c r="H48" s="13">
        <f aca="true" t="shared" si="7" ref="H48:H53">H$7</f>
        <v>1.98367</v>
      </c>
      <c r="I48" s="16">
        <f aca="true" t="shared" si="8" ref="I48:I58">G48*H48</f>
        <v>0.021026902</v>
      </c>
      <c r="J48" s="22">
        <f>172.87/1000</f>
        <v>0.17287</v>
      </c>
      <c r="K48" s="112">
        <f aca="true" t="shared" si="9" ref="K48:K53">K$7</f>
        <v>3.50441</v>
      </c>
      <c r="L48" s="16">
        <f aca="true" t="shared" si="10" ref="L48:L58">J48*K48</f>
        <v>0.6058073567</v>
      </c>
      <c r="M48" s="13"/>
      <c r="N48" s="13"/>
      <c r="O48" s="13"/>
      <c r="P48" s="13"/>
      <c r="Q48" s="13"/>
      <c r="R48" s="113">
        <f aca="true" t="shared" si="11" ref="R48:R53">R$7</f>
        <v>1.209159</v>
      </c>
      <c r="S48" s="16">
        <f aca="true" t="shared" si="12" ref="S48:S54">P48*Q48*R48</f>
        <v>0</v>
      </c>
      <c r="T48" s="16">
        <f aca="true" t="shared" si="13" ref="T48:T54">E48*F48</f>
        <v>10.0293481392</v>
      </c>
      <c r="U48" s="16">
        <f aca="true" t="shared" si="14" ref="U48:U58">E48*S48</f>
        <v>0</v>
      </c>
    </row>
    <row r="49" spans="1:21" s="60" customFormat="1" ht="39" customHeight="1">
      <c r="A49" s="13">
        <v>2</v>
      </c>
      <c r="B49" s="20" t="s">
        <v>190</v>
      </c>
      <c r="C49" s="23" t="s">
        <v>191</v>
      </c>
      <c r="D49" s="13" t="s">
        <v>23</v>
      </c>
      <c r="E49" s="111">
        <v>1.6</v>
      </c>
      <c r="F49" s="16">
        <f aca="true" t="shared" si="15" ref="F49:F58">I49+L49+S49</f>
        <v>4.6179837599999995</v>
      </c>
      <c r="G49" s="13">
        <f>1.94*1.2</f>
        <v>2.328</v>
      </c>
      <c r="H49" s="13">
        <f t="shared" si="7"/>
        <v>1.98367</v>
      </c>
      <c r="I49" s="16">
        <f t="shared" si="8"/>
        <v>4.6179837599999995</v>
      </c>
      <c r="J49" s="22"/>
      <c r="K49" s="112">
        <f t="shared" si="9"/>
        <v>3.50441</v>
      </c>
      <c r="L49" s="16">
        <f t="shared" si="10"/>
        <v>0</v>
      </c>
      <c r="M49" s="23"/>
      <c r="N49" s="23"/>
      <c r="O49" s="13"/>
      <c r="P49" s="13"/>
      <c r="Q49" s="16"/>
      <c r="R49" s="113">
        <f t="shared" si="11"/>
        <v>1.209159</v>
      </c>
      <c r="S49" s="16">
        <f t="shared" si="12"/>
        <v>0</v>
      </c>
      <c r="T49" s="16">
        <f t="shared" si="13"/>
        <v>7.388774015999999</v>
      </c>
      <c r="U49" s="16">
        <f t="shared" si="14"/>
        <v>0</v>
      </c>
    </row>
    <row r="50" spans="1:24" s="60" customFormat="1" ht="63" customHeight="1">
      <c r="A50" s="14">
        <v>3</v>
      </c>
      <c r="B50" s="20" t="s">
        <v>174</v>
      </c>
      <c r="C50" s="61" t="s">
        <v>193</v>
      </c>
      <c r="D50" s="13" t="s">
        <v>194</v>
      </c>
      <c r="E50" s="111">
        <f>E52+E53</f>
        <v>5.5</v>
      </c>
      <c r="F50" s="16">
        <f t="shared" si="15"/>
        <v>1.0226164858</v>
      </c>
      <c r="G50" s="22">
        <f>13.3/1000</f>
        <v>0.013300000000000001</v>
      </c>
      <c r="H50" s="13">
        <f t="shared" si="7"/>
        <v>1.98367</v>
      </c>
      <c r="I50" s="16">
        <f t="shared" si="8"/>
        <v>0.026382811000000003</v>
      </c>
      <c r="J50" s="62">
        <v>0.28428</v>
      </c>
      <c r="K50" s="112">
        <f t="shared" si="9"/>
        <v>3.50441</v>
      </c>
      <c r="L50" s="57">
        <f t="shared" si="10"/>
        <v>0.9962336747999999</v>
      </c>
      <c r="M50" s="13"/>
      <c r="N50" s="13"/>
      <c r="O50" s="13"/>
      <c r="P50" s="16"/>
      <c r="Q50" s="13"/>
      <c r="R50" s="113">
        <f t="shared" si="11"/>
        <v>1.209159</v>
      </c>
      <c r="S50" s="57">
        <f t="shared" si="12"/>
        <v>0</v>
      </c>
      <c r="T50" s="16">
        <f>E50*F50</f>
        <v>5.6243906719</v>
      </c>
      <c r="U50" s="57">
        <f t="shared" si="14"/>
        <v>0</v>
      </c>
      <c r="V50" s="63"/>
      <c r="W50" s="63"/>
      <c r="X50" s="63"/>
    </row>
    <row r="51" spans="1:21" s="65" customFormat="1" ht="33.75" customHeight="1">
      <c r="A51" s="11">
        <v>4</v>
      </c>
      <c r="B51" s="11" t="s">
        <v>256</v>
      </c>
      <c r="C51" s="59" t="s">
        <v>255</v>
      </c>
      <c r="D51" s="11" t="s">
        <v>30</v>
      </c>
      <c r="E51" s="117">
        <f>5.5*1.75</f>
        <v>9.625</v>
      </c>
      <c r="F51" s="57">
        <f t="shared" si="15"/>
        <v>2.5231752</v>
      </c>
      <c r="G51" s="11"/>
      <c r="H51" s="13">
        <f t="shared" si="7"/>
        <v>1.98367</v>
      </c>
      <c r="I51" s="57">
        <f t="shared" si="8"/>
        <v>0</v>
      </c>
      <c r="J51" s="11">
        <v>0.72</v>
      </c>
      <c r="K51" s="67">
        <f t="shared" si="9"/>
        <v>3.50441</v>
      </c>
      <c r="L51" s="57">
        <f t="shared" si="10"/>
        <v>2.5231752</v>
      </c>
      <c r="M51" s="11"/>
      <c r="N51" s="11"/>
      <c r="O51" s="11"/>
      <c r="P51" s="57"/>
      <c r="Q51" s="11"/>
      <c r="R51" s="67">
        <f t="shared" si="11"/>
        <v>1.209159</v>
      </c>
      <c r="S51" s="57">
        <f t="shared" si="12"/>
        <v>0</v>
      </c>
      <c r="T51" s="57">
        <f t="shared" si="13"/>
        <v>24.285561299999998</v>
      </c>
      <c r="U51" s="57">
        <f t="shared" si="14"/>
        <v>0</v>
      </c>
    </row>
    <row r="52" spans="1:21" s="60" customFormat="1" ht="50.25" customHeight="1">
      <c r="A52" s="13">
        <v>5</v>
      </c>
      <c r="B52" s="20" t="s">
        <v>195</v>
      </c>
      <c r="C52" s="61" t="s">
        <v>196</v>
      </c>
      <c r="D52" s="13" t="s">
        <v>23</v>
      </c>
      <c r="E52" s="111">
        <v>2.2</v>
      </c>
      <c r="F52" s="16">
        <f t="shared" si="15"/>
        <v>7.085765900000001</v>
      </c>
      <c r="G52" s="13">
        <v>0.89</v>
      </c>
      <c r="H52" s="13">
        <f t="shared" si="7"/>
        <v>1.98367</v>
      </c>
      <c r="I52" s="16">
        <f t="shared" si="8"/>
        <v>1.7654663000000002</v>
      </c>
      <c r="J52" s="13"/>
      <c r="K52" s="13">
        <f t="shared" si="9"/>
        <v>3.50441</v>
      </c>
      <c r="L52" s="16">
        <f t="shared" si="10"/>
        <v>0</v>
      </c>
      <c r="M52" s="61" t="s">
        <v>149</v>
      </c>
      <c r="N52" s="21" t="s">
        <v>150</v>
      </c>
      <c r="O52" s="13" t="s">
        <v>23</v>
      </c>
      <c r="P52" s="16">
        <v>1.1</v>
      </c>
      <c r="Q52" s="19">
        <v>4</v>
      </c>
      <c r="R52" s="17">
        <f t="shared" si="11"/>
        <v>1.209159</v>
      </c>
      <c r="S52" s="16">
        <f t="shared" si="12"/>
        <v>5.320299600000001</v>
      </c>
      <c r="T52" s="16">
        <f t="shared" si="13"/>
        <v>15.588684980000004</v>
      </c>
      <c r="U52" s="16">
        <f t="shared" si="14"/>
        <v>11.704659120000004</v>
      </c>
    </row>
    <row r="53" spans="1:21" s="60" customFormat="1" ht="38.25" customHeight="1">
      <c r="A53" s="13">
        <v>6</v>
      </c>
      <c r="B53" s="20" t="s">
        <v>195</v>
      </c>
      <c r="C53" s="61" t="s">
        <v>197</v>
      </c>
      <c r="D53" s="13" t="s">
        <v>23</v>
      </c>
      <c r="E53" s="111">
        <v>3.3</v>
      </c>
      <c r="F53" s="16">
        <f t="shared" si="15"/>
        <v>7.085765900000001</v>
      </c>
      <c r="G53" s="13">
        <v>0.89</v>
      </c>
      <c r="H53" s="13">
        <f t="shared" si="7"/>
        <v>1.98367</v>
      </c>
      <c r="I53" s="16">
        <f t="shared" si="8"/>
        <v>1.7654663000000002</v>
      </c>
      <c r="J53" s="13"/>
      <c r="K53" s="13">
        <f t="shared" si="9"/>
        <v>3.50441</v>
      </c>
      <c r="L53" s="16">
        <f t="shared" si="10"/>
        <v>0</v>
      </c>
      <c r="M53" s="61" t="s">
        <v>149</v>
      </c>
      <c r="N53" s="21" t="s">
        <v>150</v>
      </c>
      <c r="O53" s="13" t="s">
        <v>23</v>
      </c>
      <c r="P53" s="16">
        <v>1.1</v>
      </c>
      <c r="Q53" s="19">
        <v>4</v>
      </c>
      <c r="R53" s="17">
        <f t="shared" si="11"/>
        <v>1.209159</v>
      </c>
      <c r="S53" s="16">
        <f t="shared" si="12"/>
        <v>5.320299600000001</v>
      </c>
      <c r="T53" s="16">
        <f>E53*F53</f>
        <v>23.383027470000002</v>
      </c>
      <c r="U53" s="16">
        <f t="shared" si="14"/>
        <v>17.556988680000003</v>
      </c>
    </row>
    <row r="54" spans="1:21" s="60" customFormat="1" ht="31.5" customHeight="1">
      <c r="A54" s="13">
        <v>7</v>
      </c>
      <c r="B54" s="20" t="s">
        <v>147</v>
      </c>
      <c r="C54" s="61" t="s">
        <v>198</v>
      </c>
      <c r="D54" s="13" t="s">
        <v>23</v>
      </c>
      <c r="E54" s="111">
        <f>E48+E49-E50</f>
        <v>12.100000000000001</v>
      </c>
      <c r="F54" s="57">
        <f t="shared" si="15"/>
        <v>0.9124882000000001</v>
      </c>
      <c r="G54" s="13">
        <v>0.46</v>
      </c>
      <c r="H54" s="14">
        <f>H$8</f>
        <v>1.98367</v>
      </c>
      <c r="I54" s="16">
        <f t="shared" si="8"/>
        <v>0.9124882000000001</v>
      </c>
      <c r="J54" s="22"/>
      <c r="K54" s="14">
        <f>K$8</f>
        <v>3.50441</v>
      </c>
      <c r="L54" s="16">
        <f t="shared" si="10"/>
        <v>0</v>
      </c>
      <c r="M54" s="61"/>
      <c r="N54" s="13"/>
      <c r="O54" s="13"/>
      <c r="P54" s="70"/>
      <c r="Q54" s="19"/>
      <c r="R54" s="73">
        <f>R$8</f>
        <v>1.209159</v>
      </c>
      <c r="S54" s="16">
        <f t="shared" si="12"/>
        <v>0</v>
      </c>
      <c r="T54" s="16">
        <f t="shared" si="13"/>
        <v>11.041107220000002</v>
      </c>
      <c r="U54" s="16">
        <f t="shared" si="14"/>
        <v>0</v>
      </c>
    </row>
    <row r="55" spans="1:169" s="60" customFormat="1" ht="51" customHeight="1">
      <c r="A55" s="14">
        <v>8</v>
      </c>
      <c r="B55" s="20" t="s">
        <v>151</v>
      </c>
      <c r="C55" s="61" t="s">
        <v>237</v>
      </c>
      <c r="D55" s="13" t="s">
        <v>32</v>
      </c>
      <c r="E55" s="111">
        <v>50</v>
      </c>
      <c r="F55" s="16">
        <f t="shared" si="15"/>
        <v>2.8733768470000003</v>
      </c>
      <c r="G55" s="16">
        <v>0.06</v>
      </c>
      <c r="H55" s="13">
        <f>H$7</f>
        <v>1.98367</v>
      </c>
      <c r="I55" s="16">
        <f t="shared" si="8"/>
        <v>0.11902019999999999</v>
      </c>
      <c r="J55" s="16">
        <v>0.05</v>
      </c>
      <c r="K55" s="67">
        <f t="shared" si="0"/>
        <v>3.50441</v>
      </c>
      <c r="L55" s="16">
        <f t="shared" si="10"/>
        <v>0.1752205</v>
      </c>
      <c r="M55" s="61" t="s">
        <v>17</v>
      </c>
      <c r="N55" s="13" t="s">
        <v>240</v>
      </c>
      <c r="O55" s="13" t="s">
        <v>32</v>
      </c>
      <c r="P55" s="19">
        <v>1</v>
      </c>
      <c r="Q55" s="108">
        <v>2.133</v>
      </c>
      <c r="R55" s="67">
        <f t="shared" si="1"/>
        <v>1.209159</v>
      </c>
      <c r="S55" s="57">
        <f>P55*Q55*R55</f>
        <v>2.5791361470000003</v>
      </c>
      <c r="T55" s="57">
        <f>E55*F55</f>
        <v>143.66884235</v>
      </c>
      <c r="U55" s="57">
        <f t="shared" si="14"/>
        <v>128.95680735000002</v>
      </c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</row>
    <row r="56" spans="1:169" s="60" customFormat="1" ht="51" customHeight="1">
      <c r="A56" s="14">
        <v>9</v>
      </c>
      <c r="B56" s="20" t="s">
        <v>200</v>
      </c>
      <c r="C56" s="61" t="s">
        <v>238</v>
      </c>
      <c r="D56" s="13" t="s">
        <v>32</v>
      </c>
      <c r="E56" s="111">
        <v>5</v>
      </c>
      <c r="F56" s="16">
        <f t="shared" si="15"/>
        <v>6.793470325000001</v>
      </c>
      <c r="G56" s="16">
        <v>0.06</v>
      </c>
      <c r="H56" s="13">
        <f>H$7</f>
        <v>1.98367</v>
      </c>
      <c r="I56" s="16">
        <f t="shared" si="8"/>
        <v>0.11902019999999999</v>
      </c>
      <c r="J56" s="16">
        <v>0.05</v>
      </c>
      <c r="K56" s="67">
        <f t="shared" si="0"/>
        <v>3.50441</v>
      </c>
      <c r="L56" s="16">
        <f t="shared" si="10"/>
        <v>0.1752205</v>
      </c>
      <c r="M56" s="61" t="s">
        <v>17</v>
      </c>
      <c r="N56" s="13" t="s">
        <v>241</v>
      </c>
      <c r="O56" s="13" t="s">
        <v>32</v>
      </c>
      <c r="P56" s="19">
        <v>1</v>
      </c>
      <c r="Q56" s="108">
        <v>5.375</v>
      </c>
      <c r="R56" s="67">
        <f t="shared" si="1"/>
        <v>1.209159</v>
      </c>
      <c r="S56" s="57">
        <f>P56*Q56*R56</f>
        <v>6.499229625000001</v>
      </c>
      <c r="T56" s="57">
        <f>E56*F56</f>
        <v>33.967351625000006</v>
      </c>
      <c r="U56" s="57">
        <f t="shared" si="14"/>
        <v>32.496148125000005</v>
      </c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</row>
    <row r="57" spans="1:169" s="60" customFormat="1" ht="50.25" customHeight="1">
      <c r="A57" s="14">
        <v>10</v>
      </c>
      <c r="B57" s="20" t="s">
        <v>152</v>
      </c>
      <c r="C57" s="61" t="s">
        <v>199</v>
      </c>
      <c r="D57" s="13" t="s">
        <v>153</v>
      </c>
      <c r="E57" s="116">
        <v>0.8</v>
      </c>
      <c r="F57" s="16">
        <f t="shared" si="15"/>
        <v>133.20515139600002</v>
      </c>
      <c r="G57" s="18">
        <v>6.24</v>
      </c>
      <c r="H57" s="13">
        <f>H$7</f>
        <v>1.98367</v>
      </c>
      <c r="I57" s="16">
        <f t="shared" si="8"/>
        <v>12.3781008</v>
      </c>
      <c r="J57" s="18">
        <v>0.27</v>
      </c>
      <c r="K57" s="67">
        <f t="shared" si="0"/>
        <v>3.50441</v>
      </c>
      <c r="L57" s="16">
        <f t="shared" si="10"/>
        <v>0.9461907</v>
      </c>
      <c r="M57" s="61" t="s">
        <v>154</v>
      </c>
      <c r="N57" s="13" t="s">
        <v>242</v>
      </c>
      <c r="O57" s="13" t="s">
        <v>32</v>
      </c>
      <c r="P57" s="19">
        <v>102</v>
      </c>
      <c r="Q57" s="108">
        <v>0.972</v>
      </c>
      <c r="R57" s="67">
        <f t="shared" si="1"/>
        <v>1.209159</v>
      </c>
      <c r="S57" s="57">
        <f>P57*Q57*R57</f>
        <v>119.880859896</v>
      </c>
      <c r="T57" s="57">
        <f>E57*F57</f>
        <v>106.56412111680002</v>
      </c>
      <c r="U57" s="57">
        <f t="shared" si="14"/>
        <v>95.90468791680001</v>
      </c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</row>
    <row r="58" spans="1:169" s="60" customFormat="1" ht="50.25" customHeight="1">
      <c r="A58" s="14">
        <v>11</v>
      </c>
      <c r="B58" s="20" t="s">
        <v>152</v>
      </c>
      <c r="C58" s="61" t="s">
        <v>201</v>
      </c>
      <c r="D58" s="13" t="s">
        <v>153</v>
      </c>
      <c r="E58" s="116">
        <v>0.08</v>
      </c>
      <c r="F58" s="16">
        <f t="shared" si="15"/>
        <v>304.29026746500006</v>
      </c>
      <c r="G58" s="18">
        <v>6.24</v>
      </c>
      <c r="H58" s="13">
        <f>H$7</f>
        <v>1.98367</v>
      </c>
      <c r="I58" s="16">
        <f t="shared" si="8"/>
        <v>12.3781008</v>
      </c>
      <c r="J58" s="18">
        <v>0.27</v>
      </c>
      <c r="K58" s="67">
        <f t="shared" si="0"/>
        <v>3.50441</v>
      </c>
      <c r="L58" s="16">
        <f t="shared" si="10"/>
        <v>0.9461907</v>
      </c>
      <c r="M58" s="61" t="s">
        <v>154</v>
      </c>
      <c r="N58" s="13" t="s">
        <v>243</v>
      </c>
      <c r="O58" s="13" t="s">
        <v>32</v>
      </c>
      <c r="P58" s="19">
        <v>102</v>
      </c>
      <c r="Q58" s="108">
        <f>2.831/1.2</f>
        <v>2.359166666666667</v>
      </c>
      <c r="R58" s="67">
        <f t="shared" si="1"/>
        <v>1.209159</v>
      </c>
      <c r="S58" s="57">
        <f>P58*Q58*R58</f>
        <v>290.96597596500004</v>
      </c>
      <c r="T58" s="57">
        <f>E58*F58</f>
        <v>24.343221397200004</v>
      </c>
      <c r="U58" s="57">
        <f t="shared" si="14"/>
        <v>23.277278077200005</v>
      </c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</row>
    <row r="59" spans="1:24" s="107" customFormat="1" ht="15" customHeight="1">
      <c r="A59" s="15"/>
      <c r="B59" s="105"/>
      <c r="C59" s="69" t="s">
        <v>44</v>
      </c>
      <c r="D59" s="15"/>
      <c r="E59" s="15"/>
      <c r="F59" s="15"/>
      <c r="G59" s="15"/>
      <c r="H59" s="15"/>
      <c r="I59" s="16"/>
      <c r="J59" s="15"/>
      <c r="K59" s="15"/>
      <c r="L59" s="25"/>
      <c r="M59" s="15"/>
      <c r="N59" s="15"/>
      <c r="O59" s="15"/>
      <c r="P59" s="15"/>
      <c r="Q59" s="15"/>
      <c r="R59" s="15"/>
      <c r="S59" s="57">
        <f>P59*Q59*R59</f>
        <v>0</v>
      </c>
      <c r="T59" s="25">
        <f>SUM(T48:T58)</f>
        <v>405.88443028610004</v>
      </c>
      <c r="U59" s="25">
        <f>SUM(U48:U58)</f>
        <v>309.896569269</v>
      </c>
      <c r="V59" s="106"/>
      <c r="W59" s="106"/>
      <c r="X59" s="106"/>
    </row>
    <row r="60" spans="1:21" s="60" customFormat="1" ht="35.25" customHeight="1">
      <c r="A60" s="14"/>
      <c r="B60" s="20"/>
      <c r="C60" s="15" t="s">
        <v>207</v>
      </c>
      <c r="D60" s="13"/>
      <c r="E60" s="16"/>
      <c r="F60" s="16"/>
      <c r="G60" s="16"/>
      <c r="H60" s="13">
        <f aca="true" t="shared" si="16" ref="H60:H84">H$7</f>
        <v>1.98367</v>
      </c>
      <c r="I60" s="16"/>
      <c r="J60" s="16"/>
      <c r="K60" s="67">
        <f aca="true" t="shared" si="17" ref="K60:K84">K$7</f>
        <v>3.50441</v>
      </c>
      <c r="L60" s="16"/>
      <c r="M60" s="13"/>
      <c r="N60" s="13"/>
      <c r="O60" s="13"/>
      <c r="P60" s="22"/>
      <c r="Q60" s="13"/>
      <c r="R60" s="67">
        <f aca="true" t="shared" si="18" ref="R60:R84">R$7</f>
        <v>1.209159</v>
      </c>
      <c r="S60" s="57">
        <f aca="true" t="shared" si="19" ref="S60:S85">P60*Q60*R60</f>
        <v>0</v>
      </c>
      <c r="T60" s="68"/>
      <c r="U60" s="57"/>
    </row>
    <row r="61" spans="1:169" s="60" customFormat="1" ht="61.5" customHeight="1">
      <c r="A61" s="14">
        <v>1</v>
      </c>
      <c r="B61" s="20" t="s">
        <v>168</v>
      </c>
      <c r="C61" s="61" t="s">
        <v>167</v>
      </c>
      <c r="D61" s="13" t="s">
        <v>23</v>
      </c>
      <c r="E61" s="111">
        <f>0.2*5</f>
        <v>1</v>
      </c>
      <c r="F61" s="16">
        <f aca="true" t="shared" si="20" ref="F61:F71">I61+L61+S61</f>
        <v>7.544</v>
      </c>
      <c r="G61" s="16">
        <v>2.05</v>
      </c>
      <c r="H61" s="13">
        <v>3.68</v>
      </c>
      <c r="I61" s="16">
        <f aca="true" t="shared" si="21" ref="I61:I71">G61*H61</f>
        <v>7.544</v>
      </c>
      <c r="J61" s="17"/>
      <c r="K61" s="67">
        <f t="shared" si="17"/>
        <v>3.50441</v>
      </c>
      <c r="L61" s="16">
        <f aca="true" t="shared" si="22" ref="L61:L67">J61*K61</f>
        <v>0</v>
      </c>
      <c r="M61" s="13"/>
      <c r="N61" s="13"/>
      <c r="O61" s="13"/>
      <c r="P61" s="16"/>
      <c r="Q61" s="13"/>
      <c r="R61" s="67">
        <f t="shared" si="18"/>
        <v>1.209159</v>
      </c>
      <c r="S61" s="57">
        <f t="shared" si="19"/>
        <v>0</v>
      </c>
      <c r="T61" s="57">
        <f aca="true" t="shared" si="23" ref="T61:T71">E61*F61</f>
        <v>7.544</v>
      </c>
      <c r="U61" s="57">
        <f aca="true" t="shared" si="24" ref="U61:U71">E61*S61</f>
        <v>0</v>
      </c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</row>
    <row r="62" spans="1:21" s="60" customFormat="1" ht="40.5" customHeight="1">
      <c r="A62" s="14">
        <v>2</v>
      </c>
      <c r="B62" s="20" t="s">
        <v>155</v>
      </c>
      <c r="C62" s="61" t="s">
        <v>169</v>
      </c>
      <c r="D62" s="13" t="s">
        <v>23</v>
      </c>
      <c r="E62" s="116">
        <f>0.15*5</f>
        <v>0.75</v>
      </c>
      <c r="F62" s="16">
        <f t="shared" si="20"/>
        <v>37.00575224094</v>
      </c>
      <c r="G62" s="72">
        <v>0.7</v>
      </c>
      <c r="H62" s="13">
        <f t="shared" si="16"/>
        <v>1.98367</v>
      </c>
      <c r="I62" s="16">
        <f t="shared" si="21"/>
        <v>1.388569</v>
      </c>
      <c r="J62" s="72">
        <v>0.28</v>
      </c>
      <c r="K62" s="67">
        <f t="shared" si="17"/>
        <v>3.50441</v>
      </c>
      <c r="L62" s="16">
        <f t="shared" si="22"/>
        <v>0.9812348000000001</v>
      </c>
      <c r="M62" s="61" t="s">
        <v>244</v>
      </c>
      <c r="N62" s="13" t="s">
        <v>146</v>
      </c>
      <c r="O62" s="13" t="s">
        <v>23</v>
      </c>
      <c r="P62" s="16">
        <v>1.02</v>
      </c>
      <c r="Q62" s="108">
        <v>28.083</v>
      </c>
      <c r="R62" s="67">
        <f t="shared" si="18"/>
        <v>1.209159</v>
      </c>
      <c r="S62" s="57">
        <f t="shared" si="19"/>
        <v>34.63594844094</v>
      </c>
      <c r="T62" s="57">
        <f t="shared" si="23"/>
        <v>27.754314180705</v>
      </c>
      <c r="U62" s="57">
        <f t="shared" si="24"/>
        <v>25.976961330705</v>
      </c>
    </row>
    <row r="63" spans="1:169" s="60" customFormat="1" ht="22.5" customHeight="1">
      <c r="A63" s="14">
        <v>3</v>
      </c>
      <c r="B63" s="20" t="s">
        <v>29</v>
      </c>
      <c r="C63" s="61" t="s">
        <v>202</v>
      </c>
      <c r="D63" s="13" t="s">
        <v>31</v>
      </c>
      <c r="E63" s="115">
        <f>0.15*0.15*5</f>
        <v>0.11249999999999999</v>
      </c>
      <c r="F63" s="16">
        <f t="shared" si="20"/>
        <v>48.602146005</v>
      </c>
      <c r="G63" s="16"/>
      <c r="H63" s="13">
        <f t="shared" si="16"/>
        <v>1.98367</v>
      </c>
      <c r="I63" s="16">
        <f t="shared" si="21"/>
        <v>0</v>
      </c>
      <c r="J63" s="17"/>
      <c r="K63" s="67">
        <f t="shared" si="17"/>
        <v>3.50441</v>
      </c>
      <c r="L63" s="16">
        <f t="shared" si="22"/>
        <v>0</v>
      </c>
      <c r="M63" s="61" t="s">
        <v>69</v>
      </c>
      <c r="N63" s="13" t="s">
        <v>245</v>
      </c>
      <c r="O63" s="13" t="s">
        <v>31</v>
      </c>
      <c r="P63" s="19">
        <v>1</v>
      </c>
      <c r="Q63" s="114">
        <v>40.195</v>
      </c>
      <c r="R63" s="67">
        <f t="shared" si="18"/>
        <v>1.209159</v>
      </c>
      <c r="S63" s="57">
        <f>P63*Q63*R63</f>
        <v>48.602146005</v>
      </c>
      <c r="T63" s="57">
        <f t="shared" si="23"/>
        <v>5.467741425562499</v>
      </c>
      <c r="U63" s="57">
        <f t="shared" si="24"/>
        <v>5.467741425562499</v>
      </c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</row>
    <row r="64" spans="1:169" s="60" customFormat="1" ht="49.5" customHeight="1">
      <c r="A64" s="14">
        <v>4</v>
      </c>
      <c r="B64" s="20" t="s">
        <v>156</v>
      </c>
      <c r="C64" s="61" t="s">
        <v>203</v>
      </c>
      <c r="D64" s="13" t="s">
        <v>30</v>
      </c>
      <c r="E64" s="115">
        <f>5*1.5*12.73/1000</f>
        <v>0.095475</v>
      </c>
      <c r="F64" s="16">
        <f t="shared" si="20"/>
        <v>107.7195184</v>
      </c>
      <c r="G64" s="16">
        <v>13.6</v>
      </c>
      <c r="H64" s="13">
        <f t="shared" si="16"/>
        <v>1.98367</v>
      </c>
      <c r="I64" s="16">
        <f t="shared" si="21"/>
        <v>26.977912</v>
      </c>
      <c r="J64" s="16">
        <v>23.04</v>
      </c>
      <c r="K64" s="67">
        <f t="shared" si="17"/>
        <v>3.50441</v>
      </c>
      <c r="L64" s="16">
        <f t="shared" si="22"/>
        <v>80.7416064</v>
      </c>
      <c r="M64" s="13"/>
      <c r="N64" s="13"/>
      <c r="O64" s="13"/>
      <c r="P64" s="16"/>
      <c r="Q64" s="13"/>
      <c r="R64" s="67">
        <f t="shared" si="18"/>
        <v>1.209159</v>
      </c>
      <c r="S64" s="57">
        <f>P64*Q64*R64</f>
        <v>0</v>
      </c>
      <c r="T64" s="57">
        <f t="shared" si="23"/>
        <v>10.28452101924</v>
      </c>
      <c r="U64" s="57">
        <f t="shared" si="24"/>
        <v>0</v>
      </c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</row>
    <row r="65" spans="1:169" s="60" customFormat="1" ht="24.75" customHeight="1">
      <c r="A65" s="14">
        <v>5</v>
      </c>
      <c r="B65" s="20" t="s">
        <v>29</v>
      </c>
      <c r="C65" s="61" t="s">
        <v>205</v>
      </c>
      <c r="D65" s="13" t="s">
        <v>32</v>
      </c>
      <c r="E65" s="111">
        <f>1.5*5</f>
        <v>7.5</v>
      </c>
      <c r="F65" s="16">
        <f t="shared" si="20"/>
        <v>8.836533972</v>
      </c>
      <c r="G65" s="16"/>
      <c r="H65" s="13">
        <f t="shared" si="16"/>
        <v>1.98367</v>
      </c>
      <c r="I65" s="16">
        <f t="shared" si="21"/>
        <v>0</v>
      </c>
      <c r="J65" s="16"/>
      <c r="K65" s="67">
        <f t="shared" si="17"/>
        <v>3.50441</v>
      </c>
      <c r="L65" s="16">
        <f t="shared" si="22"/>
        <v>0</v>
      </c>
      <c r="M65" s="61" t="s">
        <v>17</v>
      </c>
      <c r="N65" s="13" t="s">
        <v>246</v>
      </c>
      <c r="O65" s="13" t="s">
        <v>32</v>
      </c>
      <c r="P65" s="19">
        <v>1</v>
      </c>
      <c r="Q65" s="108">
        <v>7.308</v>
      </c>
      <c r="R65" s="67">
        <f t="shared" si="18"/>
        <v>1.209159</v>
      </c>
      <c r="S65" s="57">
        <f>P65*Q65*R65</f>
        <v>8.836533972</v>
      </c>
      <c r="T65" s="57">
        <f t="shared" si="23"/>
        <v>66.27400478999999</v>
      </c>
      <c r="U65" s="57">
        <f t="shared" si="24"/>
        <v>66.27400478999999</v>
      </c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</row>
    <row r="66" spans="1:169" s="60" customFormat="1" ht="51" customHeight="1">
      <c r="A66" s="14">
        <v>6</v>
      </c>
      <c r="B66" s="20" t="s">
        <v>151</v>
      </c>
      <c r="C66" s="61" t="s">
        <v>259</v>
      </c>
      <c r="D66" s="13" t="s">
        <v>32</v>
      </c>
      <c r="E66" s="19">
        <v>25</v>
      </c>
      <c r="F66" s="16">
        <f t="shared" si="20"/>
        <v>1.675100278</v>
      </c>
      <c r="G66" s="16">
        <v>0.06</v>
      </c>
      <c r="H66" s="13">
        <f t="shared" si="16"/>
        <v>1.98367</v>
      </c>
      <c r="I66" s="16">
        <f t="shared" si="21"/>
        <v>0.11902019999999999</v>
      </c>
      <c r="J66" s="16">
        <v>0.05</v>
      </c>
      <c r="K66" s="67">
        <f t="shared" si="17"/>
        <v>3.50441</v>
      </c>
      <c r="L66" s="16">
        <f t="shared" si="22"/>
        <v>0.1752205</v>
      </c>
      <c r="M66" s="61" t="s">
        <v>17</v>
      </c>
      <c r="N66" s="13" t="s">
        <v>239</v>
      </c>
      <c r="O66" s="13" t="s">
        <v>32</v>
      </c>
      <c r="P66" s="19">
        <v>1</v>
      </c>
      <c r="Q66" s="108">
        <v>1.142</v>
      </c>
      <c r="R66" s="67">
        <f t="shared" si="18"/>
        <v>1.209159</v>
      </c>
      <c r="S66" s="57">
        <f>P66*Q66*R66</f>
        <v>1.380859578</v>
      </c>
      <c r="T66" s="57">
        <f t="shared" si="23"/>
        <v>41.87750695</v>
      </c>
      <c r="U66" s="57">
        <f t="shared" si="24"/>
        <v>34.52148945</v>
      </c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</row>
    <row r="67" spans="1:169" s="60" customFormat="1" ht="34.5" customHeight="1">
      <c r="A67" s="14">
        <v>7</v>
      </c>
      <c r="B67" s="20" t="s">
        <v>156</v>
      </c>
      <c r="C67" s="61" t="s">
        <v>204</v>
      </c>
      <c r="D67" s="13" t="s">
        <v>30</v>
      </c>
      <c r="E67" s="114">
        <f>E68*10.26/1000</f>
        <v>0.3078</v>
      </c>
      <c r="F67" s="16">
        <f t="shared" si="20"/>
        <v>107.7195184</v>
      </c>
      <c r="G67" s="16">
        <v>13.6</v>
      </c>
      <c r="H67" s="13">
        <f t="shared" si="16"/>
        <v>1.98367</v>
      </c>
      <c r="I67" s="16">
        <f t="shared" si="21"/>
        <v>26.977912</v>
      </c>
      <c r="J67" s="16">
        <v>23.04</v>
      </c>
      <c r="K67" s="67">
        <f t="shared" si="17"/>
        <v>3.50441</v>
      </c>
      <c r="L67" s="16">
        <f t="shared" si="22"/>
        <v>80.7416064</v>
      </c>
      <c r="M67" s="61"/>
      <c r="N67" s="13"/>
      <c r="O67" s="13"/>
      <c r="P67" s="16"/>
      <c r="Q67" s="13"/>
      <c r="R67" s="67">
        <f t="shared" si="18"/>
        <v>1.209159</v>
      </c>
      <c r="S67" s="57">
        <f t="shared" si="19"/>
        <v>0</v>
      </c>
      <c r="T67" s="57">
        <f t="shared" si="23"/>
        <v>33.15606776352</v>
      </c>
      <c r="U67" s="57">
        <f t="shared" si="24"/>
        <v>0</v>
      </c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</row>
    <row r="68" spans="1:169" s="60" customFormat="1" ht="24.75" customHeight="1">
      <c r="A68" s="14">
        <v>8</v>
      </c>
      <c r="B68" s="20" t="s">
        <v>29</v>
      </c>
      <c r="C68" s="61" t="s">
        <v>170</v>
      </c>
      <c r="D68" s="13" t="s">
        <v>32</v>
      </c>
      <c r="E68" s="116">
        <f>(1.5+4.5)*5</f>
        <v>30</v>
      </c>
      <c r="F68" s="16">
        <f t="shared" si="20"/>
        <v>6.875278074000001</v>
      </c>
      <c r="G68" s="16"/>
      <c r="H68" s="13">
        <f t="shared" si="16"/>
        <v>1.98367</v>
      </c>
      <c r="I68" s="16">
        <f t="shared" si="21"/>
        <v>0</v>
      </c>
      <c r="J68" s="16"/>
      <c r="K68" s="67">
        <f t="shared" si="17"/>
        <v>3.50441</v>
      </c>
      <c r="L68" s="16">
        <f aca="true" t="shared" si="25" ref="L68:L75">J68*K68</f>
        <v>0</v>
      </c>
      <c r="M68" s="61" t="s">
        <v>17</v>
      </c>
      <c r="N68" s="13" t="s">
        <v>247</v>
      </c>
      <c r="O68" s="13" t="s">
        <v>32</v>
      </c>
      <c r="P68" s="19">
        <v>1</v>
      </c>
      <c r="Q68" s="108">
        <v>5.686</v>
      </c>
      <c r="R68" s="67">
        <f t="shared" si="18"/>
        <v>1.209159</v>
      </c>
      <c r="S68" s="57">
        <f t="shared" si="19"/>
        <v>6.875278074000001</v>
      </c>
      <c r="T68" s="57">
        <f t="shared" si="23"/>
        <v>206.25834222000003</v>
      </c>
      <c r="U68" s="57">
        <f t="shared" si="24"/>
        <v>206.25834222000003</v>
      </c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</row>
    <row r="69" spans="1:169" s="60" customFormat="1" ht="51" customHeight="1">
      <c r="A69" s="14">
        <v>9</v>
      </c>
      <c r="B69" s="20" t="s">
        <v>151</v>
      </c>
      <c r="C69" s="61" t="s">
        <v>258</v>
      </c>
      <c r="D69" s="13" t="s">
        <v>32</v>
      </c>
      <c r="E69" s="111">
        <f>1.5*2*5</f>
        <v>15</v>
      </c>
      <c r="F69" s="16">
        <f t="shared" si="20"/>
        <v>1.675100278</v>
      </c>
      <c r="G69" s="16">
        <v>0.06</v>
      </c>
      <c r="H69" s="13">
        <f t="shared" si="16"/>
        <v>1.98367</v>
      </c>
      <c r="I69" s="16">
        <f t="shared" si="21"/>
        <v>0.11902019999999999</v>
      </c>
      <c r="J69" s="16">
        <v>0.05</v>
      </c>
      <c r="K69" s="67">
        <f t="shared" si="17"/>
        <v>3.50441</v>
      </c>
      <c r="L69" s="16">
        <f t="shared" si="25"/>
        <v>0.1752205</v>
      </c>
      <c r="M69" s="61" t="s">
        <v>17</v>
      </c>
      <c r="N69" s="13" t="s">
        <v>239</v>
      </c>
      <c r="O69" s="13" t="s">
        <v>32</v>
      </c>
      <c r="P69" s="19">
        <v>1</v>
      </c>
      <c r="Q69" s="108">
        <v>1.142</v>
      </c>
      <c r="R69" s="67">
        <f t="shared" si="18"/>
        <v>1.209159</v>
      </c>
      <c r="S69" s="57">
        <f t="shared" si="19"/>
        <v>1.380859578</v>
      </c>
      <c r="T69" s="57">
        <f t="shared" si="23"/>
        <v>25.12650417</v>
      </c>
      <c r="U69" s="57">
        <f t="shared" si="24"/>
        <v>20.71289367</v>
      </c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</row>
    <row r="70" spans="1:169" s="60" customFormat="1" ht="49.5" customHeight="1">
      <c r="A70" s="14">
        <v>10</v>
      </c>
      <c r="B70" s="20" t="s">
        <v>157</v>
      </c>
      <c r="C70" s="61" t="s">
        <v>206</v>
      </c>
      <c r="D70" s="13" t="s">
        <v>30</v>
      </c>
      <c r="E70" s="18">
        <f>E71*4.62/1000</f>
        <v>0.0693</v>
      </c>
      <c r="F70" s="16">
        <f t="shared" si="20"/>
        <v>70.74046253</v>
      </c>
      <c r="G70" s="19">
        <v>24.9</v>
      </c>
      <c r="H70" s="13">
        <f t="shared" si="16"/>
        <v>1.98367</v>
      </c>
      <c r="I70" s="57">
        <f t="shared" si="21"/>
        <v>49.393383</v>
      </c>
      <c r="J70" s="19">
        <v>3.1</v>
      </c>
      <c r="K70" s="67">
        <f t="shared" si="17"/>
        <v>3.50441</v>
      </c>
      <c r="L70" s="16">
        <f t="shared" si="25"/>
        <v>10.863671</v>
      </c>
      <c r="M70" s="61" t="s">
        <v>28</v>
      </c>
      <c r="N70" s="11" t="s">
        <v>249</v>
      </c>
      <c r="O70" s="13" t="s">
        <v>22</v>
      </c>
      <c r="P70" s="19">
        <v>10</v>
      </c>
      <c r="Q70" s="108">
        <v>0.867</v>
      </c>
      <c r="R70" s="67">
        <f t="shared" si="18"/>
        <v>1.209159</v>
      </c>
      <c r="S70" s="57">
        <f t="shared" si="19"/>
        <v>10.48340853</v>
      </c>
      <c r="T70" s="57">
        <f t="shared" si="23"/>
        <v>4.902314053329</v>
      </c>
      <c r="U70" s="57">
        <f t="shared" si="24"/>
        <v>0.726500211129</v>
      </c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</row>
    <row r="71" spans="1:169" s="60" customFormat="1" ht="24" customHeight="1">
      <c r="A71" s="14">
        <v>11</v>
      </c>
      <c r="B71" s="20" t="s">
        <v>29</v>
      </c>
      <c r="C71" s="61" t="s">
        <v>257</v>
      </c>
      <c r="D71" s="13" t="s">
        <v>32</v>
      </c>
      <c r="E71" s="16">
        <f>1.5*10</f>
        <v>15</v>
      </c>
      <c r="F71" s="16">
        <f t="shared" si="20"/>
        <v>3.169205739</v>
      </c>
      <c r="G71" s="18"/>
      <c r="H71" s="13">
        <f t="shared" si="16"/>
        <v>1.98367</v>
      </c>
      <c r="I71" s="16">
        <f t="shared" si="21"/>
        <v>0</v>
      </c>
      <c r="J71" s="18"/>
      <c r="K71" s="67">
        <f t="shared" si="17"/>
        <v>3.50441</v>
      </c>
      <c r="L71" s="16">
        <f t="shared" si="25"/>
        <v>0</v>
      </c>
      <c r="M71" s="61" t="s">
        <v>148</v>
      </c>
      <c r="N71" s="13" t="s">
        <v>248</v>
      </c>
      <c r="O71" s="13" t="s">
        <v>32</v>
      </c>
      <c r="P71" s="19">
        <v>1</v>
      </c>
      <c r="Q71" s="108">
        <v>2.621</v>
      </c>
      <c r="R71" s="67">
        <f t="shared" si="18"/>
        <v>1.209159</v>
      </c>
      <c r="S71" s="57">
        <f t="shared" si="19"/>
        <v>3.169205739</v>
      </c>
      <c r="T71" s="57">
        <f t="shared" si="23"/>
        <v>47.538086085</v>
      </c>
      <c r="U71" s="57">
        <f t="shared" si="24"/>
        <v>47.538086085</v>
      </c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</row>
    <row r="72" spans="1:169" s="60" customFormat="1" ht="24" customHeight="1">
      <c r="A72" s="14">
        <v>12</v>
      </c>
      <c r="B72" s="20" t="s">
        <v>90</v>
      </c>
      <c r="C72" s="61" t="s">
        <v>214</v>
      </c>
      <c r="D72" s="13" t="s">
        <v>33</v>
      </c>
      <c r="E72" s="19">
        <v>15</v>
      </c>
      <c r="F72" s="16">
        <f>I72+L72+S72</f>
        <v>0.14509908000000002</v>
      </c>
      <c r="G72" s="18"/>
      <c r="H72" s="13">
        <f t="shared" si="16"/>
        <v>1.98367</v>
      </c>
      <c r="I72" s="16">
        <f>G72*H72</f>
        <v>0</v>
      </c>
      <c r="J72" s="18"/>
      <c r="K72" s="67">
        <f t="shared" si="17"/>
        <v>3.50441</v>
      </c>
      <c r="L72" s="16">
        <f t="shared" si="25"/>
        <v>0</v>
      </c>
      <c r="M72" s="61" t="s">
        <v>215</v>
      </c>
      <c r="N72" s="14" t="s">
        <v>219</v>
      </c>
      <c r="O72" s="13" t="s">
        <v>33</v>
      </c>
      <c r="P72" s="19">
        <v>1</v>
      </c>
      <c r="Q72" s="108">
        <v>0.12</v>
      </c>
      <c r="R72" s="67">
        <f t="shared" si="18"/>
        <v>1.209159</v>
      </c>
      <c r="S72" s="57">
        <f>P72*Q72*R72</f>
        <v>0.14509908000000002</v>
      </c>
      <c r="T72" s="57">
        <f>E72*F72</f>
        <v>2.1764862000000003</v>
      </c>
      <c r="U72" s="57">
        <f>E72*S72</f>
        <v>2.1764862000000003</v>
      </c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</row>
    <row r="73" spans="1:169" s="60" customFormat="1" ht="24" customHeight="1">
      <c r="A73" s="14">
        <v>13</v>
      </c>
      <c r="B73" s="20" t="s">
        <v>90</v>
      </c>
      <c r="C73" s="61" t="s">
        <v>216</v>
      </c>
      <c r="D73" s="13" t="s">
        <v>33</v>
      </c>
      <c r="E73" s="19">
        <v>15</v>
      </c>
      <c r="F73" s="16">
        <f>I73+L73+S73</f>
        <v>0.09673272000000001</v>
      </c>
      <c r="G73" s="18"/>
      <c r="H73" s="13">
        <f t="shared" si="16"/>
        <v>1.98367</v>
      </c>
      <c r="I73" s="16">
        <f>G73*H73</f>
        <v>0</v>
      </c>
      <c r="J73" s="18"/>
      <c r="K73" s="67">
        <f t="shared" si="17"/>
        <v>3.50441</v>
      </c>
      <c r="L73" s="16">
        <f t="shared" si="25"/>
        <v>0</v>
      </c>
      <c r="M73" s="61" t="s">
        <v>215</v>
      </c>
      <c r="N73" s="14" t="s">
        <v>219</v>
      </c>
      <c r="O73" s="13" t="s">
        <v>33</v>
      </c>
      <c r="P73" s="19">
        <v>1</v>
      </c>
      <c r="Q73" s="108">
        <v>0.08</v>
      </c>
      <c r="R73" s="67">
        <f t="shared" si="18"/>
        <v>1.209159</v>
      </c>
      <c r="S73" s="57">
        <f>P73*Q73*R73</f>
        <v>0.09673272000000001</v>
      </c>
      <c r="T73" s="57">
        <f>E73*F73</f>
        <v>1.4509908</v>
      </c>
      <c r="U73" s="57">
        <f>E73*S73</f>
        <v>1.4509908</v>
      </c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</row>
    <row r="74" spans="1:169" s="60" customFormat="1" ht="24" customHeight="1">
      <c r="A74" s="14">
        <v>14</v>
      </c>
      <c r="B74" s="20" t="s">
        <v>90</v>
      </c>
      <c r="C74" s="61" t="s">
        <v>217</v>
      </c>
      <c r="D74" s="13" t="s">
        <v>33</v>
      </c>
      <c r="E74" s="19">
        <v>20</v>
      </c>
      <c r="F74" s="16">
        <f>I74+L74+S74</f>
        <v>0.06045795000000001</v>
      </c>
      <c r="G74" s="18"/>
      <c r="H74" s="13">
        <f t="shared" si="16"/>
        <v>1.98367</v>
      </c>
      <c r="I74" s="16">
        <f>G74*H74</f>
        <v>0</v>
      </c>
      <c r="J74" s="18"/>
      <c r="K74" s="67">
        <f t="shared" si="17"/>
        <v>3.50441</v>
      </c>
      <c r="L74" s="16">
        <f t="shared" si="25"/>
        <v>0</v>
      </c>
      <c r="M74" s="61" t="s">
        <v>215</v>
      </c>
      <c r="N74" s="14" t="s">
        <v>219</v>
      </c>
      <c r="O74" s="13" t="s">
        <v>33</v>
      </c>
      <c r="P74" s="19">
        <v>1</v>
      </c>
      <c r="Q74" s="108">
        <v>0.05</v>
      </c>
      <c r="R74" s="67">
        <f t="shared" si="18"/>
        <v>1.209159</v>
      </c>
      <c r="S74" s="57">
        <f>P74*Q74*R74</f>
        <v>0.06045795000000001</v>
      </c>
      <c r="T74" s="57">
        <f>E74*F74</f>
        <v>1.209159</v>
      </c>
      <c r="U74" s="57">
        <f>E74*S74</f>
        <v>1.209159</v>
      </c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</row>
    <row r="75" spans="1:169" s="60" customFormat="1" ht="24" customHeight="1">
      <c r="A75" s="14">
        <v>15</v>
      </c>
      <c r="B75" s="20" t="s">
        <v>90</v>
      </c>
      <c r="C75" s="61" t="s">
        <v>218</v>
      </c>
      <c r="D75" s="13" t="s">
        <v>33</v>
      </c>
      <c r="E75" s="19">
        <v>30</v>
      </c>
      <c r="F75" s="16">
        <f>I75+L75+S75</f>
        <v>0.036274770000000005</v>
      </c>
      <c r="G75" s="18"/>
      <c r="H75" s="13">
        <f t="shared" si="16"/>
        <v>1.98367</v>
      </c>
      <c r="I75" s="16">
        <f>G75*H75</f>
        <v>0</v>
      </c>
      <c r="J75" s="18"/>
      <c r="K75" s="67">
        <f t="shared" si="17"/>
        <v>3.50441</v>
      </c>
      <c r="L75" s="16">
        <f t="shared" si="25"/>
        <v>0</v>
      </c>
      <c r="M75" s="61" t="s">
        <v>215</v>
      </c>
      <c r="N75" s="14" t="s">
        <v>219</v>
      </c>
      <c r="O75" s="13" t="s">
        <v>33</v>
      </c>
      <c r="P75" s="19">
        <v>1</v>
      </c>
      <c r="Q75" s="108">
        <v>0.03</v>
      </c>
      <c r="R75" s="67">
        <f t="shared" si="18"/>
        <v>1.209159</v>
      </c>
      <c r="S75" s="57">
        <f>P75*Q75*R75</f>
        <v>0.036274770000000005</v>
      </c>
      <c r="T75" s="57">
        <f>E75*F75</f>
        <v>1.0882431000000001</v>
      </c>
      <c r="U75" s="57">
        <f>E75*S75</f>
        <v>1.0882431000000001</v>
      </c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</row>
    <row r="76" spans="1:21" s="60" customFormat="1" ht="29.25" customHeight="1">
      <c r="A76" s="13">
        <v>16</v>
      </c>
      <c r="B76" s="13" t="s">
        <v>68</v>
      </c>
      <c r="C76" s="23" t="s">
        <v>172</v>
      </c>
      <c r="D76" s="13" t="s">
        <v>33</v>
      </c>
      <c r="E76" s="111">
        <v>5</v>
      </c>
      <c r="F76" s="57">
        <f>I76+L76+S76</f>
        <v>1.4509908</v>
      </c>
      <c r="G76" s="13"/>
      <c r="H76" s="112">
        <f>H$8</f>
        <v>1.98367</v>
      </c>
      <c r="I76" s="16"/>
      <c r="J76" s="13"/>
      <c r="K76" s="112">
        <f>K$8</f>
        <v>3.50441</v>
      </c>
      <c r="L76" s="16"/>
      <c r="M76" s="61" t="s">
        <v>81</v>
      </c>
      <c r="N76" s="14" t="s">
        <v>90</v>
      </c>
      <c r="O76" s="13" t="s">
        <v>33</v>
      </c>
      <c r="P76" s="19">
        <v>1</v>
      </c>
      <c r="Q76" s="16">
        <v>1.2</v>
      </c>
      <c r="R76" s="12">
        <f>R$7</f>
        <v>1.209159</v>
      </c>
      <c r="S76" s="57">
        <f>P76*Q76*R76</f>
        <v>1.4509908</v>
      </c>
      <c r="T76" s="57">
        <f>E76*F76</f>
        <v>7.254954</v>
      </c>
      <c r="U76" s="57">
        <f>E76*S76</f>
        <v>7.254954</v>
      </c>
    </row>
    <row r="77" spans="1:21" s="60" customFormat="1" ht="30" customHeight="1">
      <c r="A77" s="13">
        <v>17</v>
      </c>
      <c r="B77" s="20" t="s">
        <v>91</v>
      </c>
      <c r="C77" s="61" t="s">
        <v>220</v>
      </c>
      <c r="D77" s="13" t="s">
        <v>33</v>
      </c>
      <c r="E77" s="111">
        <v>14</v>
      </c>
      <c r="F77" s="16">
        <f aca="true" t="shared" si="26" ref="F77:F82">I77+L77+S77</f>
        <v>2.937927025</v>
      </c>
      <c r="G77" s="13">
        <v>0.9</v>
      </c>
      <c r="H77" s="14">
        <f>H$8</f>
        <v>1.98367</v>
      </c>
      <c r="I77" s="16">
        <f aca="true" t="shared" si="27" ref="I77:I83">G77*H77</f>
        <v>1.785303</v>
      </c>
      <c r="J77" s="13">
        <v>0.05</v>
      </c>
      <c r="K77" s="14">
        <f>K$8</f>
        <v>3.50441</v>
      </c>
      <c r="L77" s="16">
        <f aca="true" t="shared" si="28" ref="L77:L83">J77*K77</f>
        <v>0.1752205</v>
      </c>
      <c r="M77" s="61" t="s">
        <v>80</v>
      </c>
      <c r="N77" s="14" t="s">
        <v>221</v>
      </c>
      <c r="O77" s="13" t="s">
        <v>33</v>
      </c>
      <c r="P77" s="70">
        <v>1</v>
      </c>
      <c r="Q77" s="108">
        <f>0.97/1.2</f>
        <v>0.8083333333333333</v>
      </c>
      <c r="R77" s="73">
        <f>R$8</f>
        <v>1.209159</v>
      </c>
      <c r="S77" s="16">
        <f t="shared" si="19"/>
        <v>0.977403525</v>
      </c>
      <c r="T77" s="16">
        <f aca="true" t="shared" si="29" ref="T77:T83">E77*F77</f>
        <v>41.13097835</v>
      </c>
      <c r="U77" s="16">
        <f aca="true" t="shared" si="30" ref="U77:U83">E77*S77</f>
        <v>13.683649350000001</v>
      </c>
    </row>
    <row r="78" spans="1:21" s="60" customFormat="1" ht="32.25" customHeight="1">
      <c r="A78" s="13">
        <v>18</v>
      </c>
      <c r="B78" s="20" t="s">
        <v>92</v>
      </c>
      <c r="C78" s="61" t="s">
        <v>209</v>
      </c>
      <c r="D78" s="13" t="s">
        <v>33</v>
      </c>
      <c r="E78" s="111">
        <v>1</v>
      </c>
      <c r="F78" s="16">
        <f t="shared" si="26"/>
        <v>4.825816049</v>
      </c>
      <c r="G78" s="13">
        <v>1.04</v>
      </c>
      <c r="H78" s="14">
        <f>H$8</f>
        <v>1.98367</v>
      </c>
      <c r="I78" s="16">
        <f t="shared" si="27"/>
        <v>2.0630168</v>
      </c>
      <c r="J78" s="13">
        <v>0.06</v>
      </c>
      <c r="K78" s="14">
        <f>K$8</f>
        <v>3.50441</v>
      </c>
      <c r="L78" s="16">
        <f t="shared" si="28"/>
        <v>0.2102646</v>
      </c>
      <c r="M78" s="61" t="s">
        <v>80</v>
      </c>
      <c r="N78" s="14" t="s">
        <v>208</v>
      </c>
      <c r="O78" s="13" t="s">
        <v>33</v>
      </c>
      <c r="P78" s="70">
        <v>1</v>
      </c>
      <c r="Q78" s="108">
        <v>2.111</v>
      </c>
      <c r="R78" s="73">
        <f>R$8</f>
        <v>1.209159</v>
      </c>
      <c r="S78" s="16">
        <f t="shared" si="19"/>
        <v>2.5525346490000005</v>
      </c>
      <c r="T78" s="16">
        <f t="shared" si="29"/>
        <v>4.825816049</v>
      </c>
      <c r="U78" s="16">
        <f t="shared" si="30"/>
        <v>2.5525346490000005</v>
      </c>
    </row>
    <row r="79" spans="1:21" s="60" customFormat="1" ht="32.25" customHeight="1">
      <c r="A79" s="13">
        <v>19</v>
      </c>
      <c r="B79" s="20" t="s">
        <v>92</v>
      </c>
      <c r="C79" s="61" t="s">
        <v>210</v>
      </c>
      <c r="D79" s="13" t="s">
        <v>33</v>
      </c>
      <c r="E79" s="111">
        <v>1</v>
      </c>
      <c r="F79" s="16">
        <f t="shared" si="26"/>
        <v>6.807627650000001</v>
      </c>
      <c r="G79" s="13">
        <v>1.04</v>
      </c>
      <c r="H79" s="14">
        <f>H$8</f>
        <v>1.98367</v>
      </c>
      <c r="I79" s="16">
        <f t="shared" si="27"/>
        <v>2.0630168</v>
      </c>
      <c r="J79" s="13">
        <v>0.06</v>
      </c>
      <c r="K79" s="14">
        <f>K$8</f>
        <v>3.50441</v>
      </c>
      <c r="L79" s="16">
        <f t="shared" si="28"/>
        <v>0.2102646</v>
      </c>
      <c r="M79" s="61" t="s">
        <v>80</v>
      </c>
      <c r="N79" s="14" t="s">
        <v>219</v>
      </c>
      <c r="O79" s="13" t="s">
        <v>33</v>
      </c>
      <c r="P79" s="70">
        <v>1</v>
      </c>
      <c r="Q79" s="108">
        <f>4.5/1.2</f>
        <v>3.75</v>
      </c>
      <c r="R79" s="73">
        <f>R$8</f>
        <v>1.209159</v>
      </c>
      <c r="S79" s="16">
        <f>P79*Q79*R79</f>
        <v>4.5343462500000005</v>
      </c>
      <c r="T79" s="16">
        <f t="shared" si="29"/>
        <v>6.807627650000001</v>
      </c>
      <c r="U79" s="16">
        <f t="shared" si="30"/>
        <v>4.5343462500000005</v>
      </c>
    </row>
    <row r="80" spans="1:21" s="60" customFormat="1" ht="32.25" customHeight="1">
      <c r="A80" s="13">
        <v>20</v>
      </c>
      <c r="B80" s="20" t="s">
        <v>92</v>
      </c>
      <c r="C80" s="61" t="s">
        <v>211</v>
      </c>
      <c r="D80" s="13" t="s">
        <v>33</v>
      </c>
      <c r="E80" s="111">
        <v>2</v>
      </c>
      <c r="F80" s="16">
        <f t="shared" si="26"/>
        <v>10.1328149</v>
      </c>
      <c r="G80" s="13">
        <v>1.04</v>
      </c>
      <c r="H80" s="14">
        <f>H$8</f>
        <v>1.98367</v>
      </c>
      <c r="I80" s="16">
        <f t="shared" si="27"/>
        <v>2.0630168</v>
      </c>
      <c r="J80" s="13">
        <v>0.06</v>
      </c>
      <c r="K80" s="14">
        <f>K$8</f>
        <v>3.50441</v>
      </c>
      <c r="L80" s="16">
        <f t="shared" si="28"/>
        <v>0.2102646</v>
      </c>
      <c r="M80" s="61" t="s">
        <v>80</v>
      </c>
      <c r="N80" s="14" t="s">
        <v>219</v>
      </c>
      <c r="O80" s="13" t="s">
        <v>33</v>
      </c>
      <c r="P80" s="70">
        <v>1</v>
      </c>
      <c r="Q80" s="108">
        <v>6.5</v>
      </c>
      <c r="R80" s="73">
        <f>R$8</f>
        <v>1.209159</v>
      </c>
      <c r="S80" s="16">
        <f>P80*Q80*R80</f>
        <v>7.8595335</v>
      </c>
      <c r="T80" s="16">
        <f t="shared" si="29"/>
        <v>20.2656298</v>
      </c>
      <c r="U80" s="16">
        <f t="shared" si="30"/>
        <v>15.719067</v>
      </c>
    </row>
    <row r="81" spans="1:169" s="60" customFormat="1" ht="22.5" customHeight="1">
      <c r="A81" s="14">
        <v>21</v>
      </c>
      <c r="B81" s="20" t="s">
        <v>29</v>
      </c>
      <c r="C81" s="61" t="s">
        <v>212</v>
      </c>
      <c r="D81" s="13" t="s">
        <v>67</v>
      </c>
      <c r="E81" s="19">
        <v>4</v>
      </c>
      <c r="F81" s="16">
        <f t="shared" si="26"/>
        <v>13.099222500000002</v>
      </c>
      <c r="G81" s="16"/>
      <c r="H81" s="13">
        <f t="shared" si="16"/>
        <v>1.98367</v>
      </c>
      <c r="I81" s="16">
        <f t="shared" si="27"/>
        <v>0</v>
      </c>
      <c r="J81" s="17"/>
      <c r="K81" s="67">
        <f t="shared" si="17"/>
        <v>3.50441</v>
      </c>
      <c r="L81" s="16">
        <f t="shared" si="28"/>
        <v>0</v>
      </c>
      <c r="M81" s="61" t="s">
        <v>213</v>
      </c>
      <c r="N81" s="14" t="s">
        <v>219</v>
      </c>
      <c r="O81" s="13" t="s">
        <v>67</v>
      </c>
      <c r="P81" s="19">
        <v>1</v>
      </c>
      <c r="Q81" s="114">
        <f>13/1.2</f>
        <v>10.833333333333334</v>
      </c>
      <c r="R81" s="67">
        <f t="shared" si="18"/>
        <v>1.209159</v>
      </c>
      <c r="S81" s="57">
        <f>P81*Q81*R81</f>
        <v>13.099222500000002</v>
      </c>
      <c r="T81" s="57">
        <f t="shared" si="29"/>
        <v>52.396890000000006</v>
      </c>
      <c r="U81" s="57">
        <f t="shared" si="30"/>
        <v>52.396890000000006</v>
      </c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</row>
    <row r="82" spans="1:21" s="104" customFormat="1" ht="35.25" customHeight="1">
      <c r="A82" s="11">
        <v>22</v>
      </c>
      <c r="B82" s="58" t="s">
        <v>158</v>
      </c>
      <c r="C82" s="61" t="s">
        <v>222</v>
      </c>
      <c r="D82" s="13" t="s">
        <v>33</v>
      </c>
      <c r="E82" s="19">
        <v>10</v>
      </c>
      <c r="F82" s="16">
        <f t="shared" si="26"/>
        <v>10.82624955</v>
      </c>
      <c r="G82" s="13">
        <v>1.49</v>
      </c>
      <c r="H82" s="13">
        <f t="shared" si="16"/>
        <v>1.98367</v>
      </c>
      <c r="I82" s="16">
        <f t="shared" si="27"/>
        <v>2.9556683</v>
      </c>
      <c r="J82" s="16">
        <v>0.86</v>
      </c>
      <c r="K82" s="67">
        <f t="shared" si="17"/>
        <v>3.50441</v>
      </c>
      <c r="L82" s="16">
        <f t="shared" si="28"/>
        <v>3.0137926</v>
      </c>
      <c r="M82" s="61" t="s">
        <v>159</v>
      </c>
      <c r="N82" s="14" t="s">
        <v>90</v>
      </c>
      <c r="O82" s="13" t="s">
        <v>33</v>
      </c>
      <c r="P82" s="19">
        <v>1</v>
      </c>
      <c r="Q82" s="18">
        <f>4.82/1.2</f>
        <v>4.0166666666666675</v>
      </c>
      <c r="R82" s="67">
        <f t="shared" si="18"/>
        <v>1.209159</v>
      </c>
      <c r="S82" s="57">
        <f t="shared" si="19"/>
        <v>4.856788650000001</v>
      </c>
      <c r="T82" s="57">
        <f t="shared" si="29"/>
        <v>108.2624955</v>
      </c>
      <c r="U82" s="57">
        <f t="shared" si="30"/>
        <v>48.567886500000014</v>
      </c>
    </row>
    <row r="83" spans="1:21" s="104" customFormat="1" ht="21.75" customHeight="1">
      <c r="A83" s="154">
        <v>23</v>
      </c>
      <c r="B83" s="161" t="s">
        <v>160</v>
      </c>
      <c r="C83" s="162" t="s">
        <v>161</v>
      </c>
      <c r="D83" s="159" t="s">
        <v>31</v>
      </c>
      <c r="E83" s="160">
        <f>E68*0.11*3.14+E71*0.06*3.14</f>
        <v>13.187999999999999</v>
      </c>
      <c r="F83" s="160">
        <f>I83+L83+S83+S84</f>
        <v>0.6999775053840426</v>
      </c>
      <c r="G83" s="159">
        <v>0.214</v>
      </c>
      <c r="H83" s="13">
        <f t="shared" si="16"/>
        <v>1.98367</v>
      </c>
      <c r="I83" s="160">
        <f t="shared" si="27"/>
        <v>0.42450538</v>
      </c>
      <c r="J83" s="163">
        <v>0.003</v>
      </c>
      <c r="K83" s="67">
        <f t="shared" si="17"/>
        <v>3.50441</v>
      </c>
      <c r="L83" s="160">
        <f t="shared" si="28"/>
        <v>0.01051323</v>
      </c>
      <c r="M83" s="61" t="s">
        <v>75</v>
      </c>
      <c r="N83" s="62" t="s">
        <v>186</v>
      </c>
      <c r="O83" s="11" t="s">
        <v>22</v>
      </c>
      <c r="P83" s="11">
        <v>0.244</v>
      </c>
      <c r="Q83" s="109">
        <v>0.8</v>
      </c>
      <c r="R83" s="67">
        <f t="shared" si="18"/>
        <v>1.209159</v>
      </c>
      <c r="S83" s="57">
        <f t="shared" si="19"/>
        <v>0.23602783680000003</v>
      </c>
      <c r="T83" s="158">
        <f t="shared" si="29"/>
        <v>9.231303341004752</v>
      </c>
      <c r="U83" s="57">
        <f t="shared" si="30"/>
        <v>3.1127351117184</v>
      </c>
    </row>
    <row r="84" spans="1:21" s="104" customFormat="1" ht="21.75" customHeight="1">
      <c r="A84" s="154"/>
      <c r="B84" s="161"/>
      <c r="C84" s="162"/>
      <c r="D84" s="159"/>
      <c r="E84" s="160"/>
      <c r="F84" s="160"/>
      <c r="G84" s="159"/>
      <c r="H84" s="13">
        <f t="shared" si="16"/>
        <v>1.98367</v>
      </c>
      <c r="I84" s="160"/>
      <c r="J84" s="163"/>
      <c r="K84" s="67">
        <f t="shared" si="17"/>
        <v>3.50441</v>
      </c>
      <c r="L84" s="160"/>
      <c r="M84" s="61" t="s">
        <v>76</v>
      </c>
      <c r="N84" s="11" t="s">
        <v>171</v>
      </c>
      <c r="O84" s="11" t="s">
        <v>22</v>
      </c>
      <c r="P84" s="11">
        <f>2.7/100</f>
        <v>0.027000000000000003</v>
      </c>
      <c r="Q84" s="110">
        <f>0.833/0.94</f>
        <v>0.8861702127659574</v>
      </c>
      <c r="R84" s="67">
        <f t="shared" si="18"/>
        <v>1.209159</v>
      </c>
      <c r="S84" s="57">
        <f t="shared" si="19"/>
        <v>0.02893105858404256</v>
      </c>
      <c r="T84" s="158"/>
      <c r="U84" s="57">
        <f>E83*S84</f>
        <v>0.38154280060635326</v>
      </c>
    </row>
    <row r="85" spans="1:24" s="107" customFormat="1" ht="15" customHeight="1">
      <c r="A85" s="15"/>
      <c r="B85" s="105"/>
      <c r="C85" s="69" t="s">
        <v>44</v>
      </c>
      <c r="D85" s="15"/>
      <c r="E85" s="15"/>
      <c r="F85" s="15"/>
      <c r="G85" s="15"/>
      <c r="H85" s="15"/>
      <c r="I85" s="16"/>
      <c r="J85" s="15"/>
      <c r="K85" s="15"/>
      <c r="L85" s="25"/>
      <c r="M85" s="69"/>
      <c r="N85" s="15"/>
      <c r="O85" s="15"/>
      <c r="P85" s="15"/>
      <c r="Q85" s="15"/>
      <c r="R85" s="15"/>
      <c r="S85" s="57">
        <f t="shared" si="19"/>
        <v>0</v>
      </c>
      <c r="T85" s="25">
        <f>SUM(T61:T84)</f>
        <v>732.283976447361</v>
      </c>
      <c r="U85" s="25">
        <f>SUM(U61:U84)</f>
        <v>561.6045039437212</v>
      </c>
      <c r="V85" s="106"/>
      <c r="W85" s="106"/>
      <c r="X85" s="106"/>
    </row>
    <row r="86" spans="1:24" s="107" customFormat="1" ht="15" customHeight="1">
      <c r="A86" s="15"/>
      <c r="B86" s="105"/>
      <c r="C86" s="69" t="s">
        <v>145</v>
      </c>
      <c r="D86" s="15"/>
      <c r="E86" s="15"/>
      <c r="F86" s="15"/>
      <c r="G86" s="15"/>
      <c r="H86" s="15"/>
      <c r="I86" s="16"/>
      <c r="J86" s="15"/>
      <c r="K86" s="15"/>
      <c r="L86" s="25"/>
      <c r="M86" s="15"/>
      <c r="N86" s="15"/>
      <c r="O86" s="15"/>
      <c r="P86" s="15"/>
      <c r="Q86" s="15"/>
      <c r="R86" s="15"/>
      <c r="S86" s="57"/>
      <c r="T86" s="25">
        <f>T37+T45+T85</f>
        <v>4926.504594653381</v>
      </c>
      <c r="U86" s="25">
        <f>U37+U45+U85</f>
        <v>4006.6307068583205</v>
      </c>
      <c r="V86" s="106"/>
      <c r="W86" s="106"/>
      <c r="X86" s="106"/>
    </row>
    <row r="87" spans="1:21" ht="19.5" customHeight="1">
      <c r="A87" s="13"/>
      <c r="B87" s="15"/>
      <c r="C87" s="61" t="s">
        <v>15</v>
      </c>
      <c r="D87" s="2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f>T86*0.133</f>
        <v>655.2251110888997</v>
      </c>
      <c r="U87" s="13">
        <f>U86*0.133</f>
        <v>532.8818840121567</v>
      </c>
    </row>
    <row r="88" spans="1:21" ht="19.5" customHeight="1">
      <c r="A88" s="13"/>
      <c r="B88" s="13"/>
      <c r="C88" s="61" t="s">
        <v>44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25">
        <f>SUM(T86:T87)</f>
        <v>5581.72970574228</v>
      </c>
      <c r="U88" s="25">
        <f>SUM(U86:U87)</f>
        <v>4539.512590870478</v>
      </c>
    </row>
    <row r="89" spans="1:21" ht="16.5" customHeight="1">
      <c r="A89" s="13"/>
      <c r="B89" s="13"/>
      <c r="C89" s="61" t="s">
        <v>12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>
        <f>T88*0.11</f>
        <v>613.9902676316508</v>
      </c>
      <c r="U89" s="13">
        <f>U88*0.11</f>
        <v>499.34638499575254</v>
      </c>
    </row>
    <row r="90" spans="1:21" ht="18" customHeight="1">
      <c r="A90" s="13"/>
      <c r="B90" s="13"/>
      <c r="C90" s="69" t="s">
        <v>44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25">
        <f>T88+T89</f>
        <v>6195.719973373931</v>
      </c>
      <c r="U90" s="25">
        <f>U88+U89</f>
        <v>5038.85897586623</v>
      </c>
    </row>
    <row r="92" spans="6:13" ht="14.25">
      <c r="F92" s="137" t="s">
        <v>46</v>
      </c>
      <c r="G92" s="137"/>
      <c r="H92" s="137"/>
      <c r="I92" s="137"/>
      <c r="J92" s="24"/>
      <c r="K92" s="24"/>
      <c r="L92" s="137"/>
      <c r="M92" s="137"/>
    </row>
  </sheetData>
  <sheetProtection/>
  <mergeCells count="118">
    <mergeCell ref="E14:E18"/>
    <mergeCell ref="F19:F22"/>
    <mergeCell ref="T14:T18"/>
    <mergeCell ref="E19:E22"/>
    <mergeCell ref="L27:L29"/>
    <mergeCell ref="T27:T29"/>
    <mergeCell ref="L23:L24"/>
    <mergeCell ref="T19:T22"/>
    <mergeCell ref="L19:L22"/>
    <mergeCell ref="J25:J26"/>
    <mergeCell ref="F5:F7"/>
    <mergeCell ref="L14:L18"/>
    <mergeCell ref="T5:T7"/>
    <mergeCell ref="T25:T26"/>
    <mergeCell ref="G27:G29"/>
    <mergeCell ref="B27:B29"/>
    <mergeCell ref="C27:C29"/>
    <mergeCell ref="D27:D29"/>
    <mergeCell ref="E27:E29"/>
    <mergeCell ref="G19:G22"/>
    <mergeCell ref="A27:A29"/>
    <mergeCell ref="F14:F18"/>
    <mergeCell ref="B14:B18"/>
    <mergeCell ref="C14:C18"/>
    <mergeCell ref="D14:D18"/>
    <mergeCell ref="D19:D22"/>
    <mergeCell ref="A19:A22"/>
    <mergeCell ref="B19:B22"/>
    <mergeCell ref="A23:A24"/>
    <mergeCell ref="B23:B24"/>
    <mergeCell ref="A1:U1"/>
    <mergeCell ref="B2:U2"/>
    <mergeCell ref="A3:E3"/>
    <mergeCell ref="A4:E4"/>
    <mergeCell ref="L4:P4"/>
    <mergeCell ref="A5:A7"/>
    <mergeCell ref="B5:B7"/>
    <mergeCell ref="C5:C7"/>
    <mergeCell ref="D5:D7"/>
    <mergeCell ref="G5:S5"/>
    <mergeCell ref="U5:U7"/>
    <mergeCell ref="G6:I6"/>
    <mergeCell ref="J6:L6"/>
    <mergeCell ref="M6:S6"/>
    <mergeCell ref="J14:J18"/>
    <mergeCell ref="G23:G24"/>
    <mergeCell ref="T23:T24"/>
    <mergeCell ref="I19:I22"/>
    <mergeCell ref="G14:G18"/>
    <mergeCell ref="I14:I18"/>
    <mergeCell ref="A31:A33"/>
    <mergeCell ref="F92:I92"/>
    <mergeCell ref="L92:M92"/>
    <mergeCell ref="E5:E7"/>
    <mergeCell ref="A25:A26"/>
    <mergeCell ref="B25:B26"/>
    <mergeCell ref="C25:C26"/>
    <mergeCell ref="D25:D26"/>
    <mergeCell ref="A14:A18"/>
    <mergeCell ref="C19:C22"/>
    <mergeCell ref="D34:D36"/>
    <mergeCell ref="E34:E36"/>
    <mergeCell ref="J19:J22"/>
    <mergeCell ref="I23:I24"/>
    <mergeCell ref="J23:J24"/>
    <mergeCell ref="F27:F29"/>
    <mergeCell ref="E25:E26"/>
    <mergeCell ref="F25:F26"/>
    <mergeCell ref="G25:G26"/>
    <mergeCell ref="C23:C24"/>
    <mergeCell ref="D23:D24"/>
    <mergeCell ref="E23:E24"/>
    <mergeCell ref="I27:I29"/>
    <mergeCell ref="I25:I26"/>
    <mergeCell ref="L25:L26"/>
    <mergeCell ref="F23:F24"/>
    <mergeCell ref="B31:B33"/>
    <mergeCell ref="C31:C33"/>
    <mergeCell ref="D31:D33"/>
    <mergeCell ref="E31:E33"/>
    <mergeCell ref="F31:F33"/>
    <mergeCell ref="J27:J29"/>
    <mergeCell ref="C34:C36"/>
    <mergeCell ref="G83:G84"/>
    <mergeCell ref="A34:A36"/>
    <mergeCell ref="I83:I84"/>
    <mergeCell ref="J83:J84"/>
    <mergeCell ref="F42:F43"/>
    <mergeCell ref="G34:G36"/>
    <mergeCell ref="F34:F36"/>
    <mergeCell ref="G42:G43"/>
    <mergeCell ref="I34:I36"/>
    <mergeCell ref="L34:L36"/>
    <mergeCell ref="L83:L84"/>
    <mergeCell ref="T83:T84"/>
    <mergeCell ref="A83:A84"/>
    <mergeCell ref="B83:B84"/>
    <mergeCell ref="C83:C84"/>
    <mergeCell ref="D83:D84"/>
    <mergeCell ref="E83:E84"/>
    <mergeCell ref="F83:F84"/>
    <mergeCell ref="B34:B36"/>
    <mergeCell ref="J42:J43"/>
    <mergeCell ref="L42:L43"/>
    <mergeCell ref="G31:G33"/>
    <mergeCell ref="I31:I33"/>
    <mergeCell ref="T42:T43"/>
    <mergeCell ref="T34:T36"/>
    <mergeCell ref="J31:J33"/>
    <mergeCell ref="L31:L33"/>
    <mergeCell ref="T31:T33"/>
    <mergeCell ref="J34:J36"/>
    <mergeCell ref="A42:A43"/>
    <mergeCell ref="B42:B43"/>
    <mergeCell ref="C42:C43"/>
    <mergeCell ref="D42:D43"/>
    <mergeCell ref="E42:E43"/>
    <mergeCell ref="I42:I43"/>
  </mergeCells>
  <printOptions horizontalCentered="1"/>
  <pageMargins left="0.2362204724409449" right="0.2362204724409449" top="0.7086614173228347" bottom="0.3149606299212598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140625" style="75" bestFit="1" customWidth="1"/>
    <col min="2" max="2" width="25.140625" style="75" customWidth="1"/>
    <col min="3" max="3" width="33.421875" style="75" customWidth="1"/>
    <col min="4" max="4" width="14.00390625" style="75" customWidth="1"/>
    <col min="5" max="5" width="14.421875" style="75" customWidth="1"/>
    <col min="6" max="6" width="13.7109375" style="75" customWidth="1"/>
    <col min="7" max="7" width="12.140625" style="75" customWidth="1"/>
    <col min="8" max="8" width="14.421875" style="75" customWidth="1"/>
    <col min="9" max="16384" width="9.140625" style="75" customWidth="1"/>
  </cols>
  <sheetData>
    <row r="1" spans="1:8" ht="17.25">
      <c r="A1" s="170" t="s">
        <v>96</v>
      </c>
      <c r="B1" s="170"/>
      <c r="C1" s="170"/>
      <c r="D1" s="170"/>
      <c r="E1" s="170"/>
      <c r="F1" s="170"/>
      <c r="G1" s="170"/>
      <c r="H1" s="170"/>
    </row>
    <row r="2" spans="1:8" ht="48.75" customHeight="1">
      <c r="A2" s="76"/>
      <c r="B2" s="181" t="s">
        <v>267</v>
      </c>
      <c r="C2" s="181"/>
      <c r="D2" s="181"/>
      <c r="E2" s="181"/>
      <c r="F2" s="181"/>
      <c r="G2" s="181"/>
      <c r="H2" s="181"/>
    </row>
    <row r="3" spans="2:8" ht="30" customHeight="1">
      <c r="B3" s="182" t="s">
        <v>254</v>
      </c>
      <c r="C3" s="182"/>
      <c r="D3" s="183" t="s">
        <v>97</v>
      </c>
      <c r="E3" s="183"/>
      <c r="F3" s="183"/>
      <c r="G3" s="77">
        <f>H8</f>
        <v>6195.719973373931</v>
      </c>
      <c r="H3" s="78" t="s">
        <v>34</v>
      </c>
    </row>
    <row r="4" spans="1:8" ht="21.75" customHeight="1">
      <c r="A4" s="184" t="s">
        <v>47</v>
      </c>
      <c r="B4" s="184" t="s">
        <v>98</v>
      </c>
      <c r="C4" s="184" t="s">
        <v>99</v>
      </c>
      <c r="D4" s="174" t="s">
        <v>54</v>
      </c>
      <c r="E4" s="175"/>
      <c r="F4" s="175"/>
      <c r="G4" s="175"/>
      <c r="H4" s="176"/>
    </row>
    <row r="5" spans="1:8" ht="65.25" customHeight="1">
      <c r="A5" s="185"/>
      <c r="B5" s="185"/>
      <c r="C5" s="185"/>
      <c r="D5" s="11" t="s">
        <v>55</v>
      </c>
      <c r="E5" s="11" t="s">
        <v>100</v>
      </c>
      <c r="F5" s="11" t="s">
        <v>101</v>
      </c>
      <c r="G5" s="11" t="s">
        <v>36</v>
      </c>
      <c r="H5" s="11" t="s">
        <v>44</v>
      </c>
    </row>
    <row r="6" spans="1:8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48" customHeight="1">
      <c r="A7" s="13">
        <v>1</v>
      </c>
      <c r="B7" s="13" t="s">
        <v>102</v>
      </c>
      <c r="C7" s="61" t="s">
        <v>103</v>
      </c>
      <c r="D7" s="16">
        <f>'1-1'!T90</f>
        <v>6195.719973373931</v>
      </c>
      <c r="E7" s="71"/>
      <c r="F7" s="71"/>
      <c r="G7" s="71"/>
      <c r="H7" s="16">
        <f>D7+E7+F7+G7</f>
        <v>6195.719973373931</v>
      </c>
    </row>
    <row r="8" spans="1:8" ht="30" customHeight="1">
      <c r="A8" s="13"/>
      <c r="B8" s="15" t="s">
        <v>44</v>
      </c>
      <c r="C8" s="69"/>
      <c r="D8" s="25">
        <f>SUM(D7:D7)</f>
        <v>6195.719973373931</v>
      </c>
      <c r="E8" s="25">
        <f>SUM(E7:E7)</f>
        <v>0</v>
      </c>
      <c r="F8" s="79"/>
      <c r="G8" s="79"/>
      <c r="H8" s="25">
        <f>SUM(H7:H7)</f>
        <v>6195.719973373931</v>
      </c>
    </row>
    <row r="11" spans="3:9" ht="14.25">
      <c r="C11" s="80"/>
      <c r="D11" s="81" t="s">
        <v>104</v>
      </c>
      <c r="E11" s="137"/>
      <c r="F11" s="137"/>
      <c r="G11" s="180"/>
      <c r="H11" s="180"/>
      <c r="I11" s="78"/>
    </row>
    <row r="12" ht="13.5">
      <c r="C12" s="82"/>
    </row>
    <row r="13" ht="13.5">
      <c r="C13" s="80"/>
    </row>
    <row r="14" spans="3:5" ht="13.5">
      <c r="C14" s="82"/>
      <c r="E14" s="83"/>
    </row>
    <row r="15" ht="13.5">
      <c r="C15" s="80"/>
    </row>
  </sheetData>
  <sheetProtection/>
  <mergeCells count="10">
    <mergeCell ref="E11:F11"/>
    <mergeCell ref="G11:H11"/>
    <mergeCell ref="B2:H2"/>
    <mergeCell ref="A1:H1"/>
    <mergeCell ref="B3:C3"/>
    <mergeCell ref="D3:F3"/>
    <mergeCell ref="A4:A5"/>
    <mergeCell ref="B4:B5"/>
    <mergeCell ref="C4:C5"/>
    <mergeCell ref="D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3.57421875" style="84" customWidth="1"/>
    <col min="2" max="2" width="13.7109375" style="86" customWidth="1"/>
    <col min="3" max="16384" width="9.140625" style="84" customWidth="1"/>
  </cols>
  <sheetData>
    <row r="2" spans="1:2" ht="20.25">
      <c r="A2" s="186" t="s">
        <v>105</v>
      </c>
      <c r="B2" s="186"/>
    </row>
    <row r="3" ht="20.25">
      <c r="A3" s="85"/>
    </row>
    <row r="4" spans="1:2" ht="75.75" customHeight="1">
      <c r="A4" s="187" t="s">
        <v>268</v>
      </c>
      <c r="B4" s="187"/>
    </row>
    <row r="5" spans="1:2" ht="54" customHeight="1">
      <c r="A5" s="188" t="s">
        <v>106</v>
      </c>
      <c r="B5" s="188"/>
    </row>
    <row r="6" spans="1:2" ht="16.5">
      <c r="A6" s="88" t="s">
        <v>251</v>
      </c>
      <c r="B6" s="88"/>
    </row>
    <row r="7" spans="1:2" ht="33">
      <c r="A7" s="88" t="s">
        <v>107</v>
      </c>
      <c r="B7" s="88"/>
    </row>
    <row r="8" spans="1:2" ht="16.5">
      <c r="A8" s="88" t="s">
        <v>108</v>
      </c>
      <c r="B8" s="88"/>
    </row>
    <row r="9" spans="1:2" ht="16.5">
      <c r="A9" s="88" t="s">
        <v>109</v>
      </c>
      <c r="B9" s="88">
        <v>1.129</v>
      </c>
    </row>
    <row r="10" spans="1:2" ht="16.5">
      <c r="A10" s="88" t="s">
        <v>110</v>
      </c>
      <c r="B10" s="88">
        <v>1.05</v>
      </c>
    </row>
    <row r="11" spans="1:2" ht="16.5">
      <c r="A11" s="88" t="s">
        <v>111</v>
      </c>
      <c r="B11" s="89">
        <v>1.02</v>
      </c>
    </row>
    <row r="12" spans="1:2" ht="17.25">
      <c r="A12" s="88" t="s">
        <v>112</v>
      </c>
      <c r="B12" s="90">
        <v>1983.67</v>
      </c>
    </row>
    <row r="13" spans="1:2" ht="17.25">
      <c r="A13" s="88" t="s">
        <v>113</v>
      </c>
      <c r="B13" s="90">
        <v>3504.41</v>
      </c>
    </row>
    <row r="14" spans="1:2" ht="16.5" customHeight="1">
      <c r="A14" s="88" t="s">
        <v>114</v>
      </c>
      <c r="B14" s="91">
        <v>0.133</v>
      </c>
    </row>
    <row r="15" spans="1:2" ht="16.5">
      <c r="A15" s="88" t="s">
        <v>115</v>
      </c>
      <c r="B15" s="92">
        <v>0.11</v>
      </c>
    </row>
    <row r="16" spans="1:2" ht="25.5" customHeight="1">
      <c r="A16" s="88" t="s">
        <v>116</v>
      </c>
      <c r="B16" s="93">
        <v>0.005</v>
      </c>
    </row>
    <row r="17" spans="1:2" ht="33">
      <c r="A17" s="88" t="s">
        <v>117</v>
      </c>
      <c r="B17" s="93">
        <v>0.003</v>
      </c>
    </row>
    <row r="18" spans="1:2" ht="54.75" customHeight="1">
      <c r="A18" s="188" t="s">
        <v>252</v>
      </c>
      <c r="B18" s="188"/>
    </row>
    <row r="19" spans="1:2" ht="16.5">
      <c r="A19" s="188" t="s">
        <v>118</v>
      </c>
      <c r="B19" s="188"/>
    </row>
    <row r="20" spans="1:2" ht="16.5">
      <c r="A20" s="87" t="s">
        <v>119</v>
      </c>
      <c r="B20" s="87" t="s">
        <v>120</v>
      </c>
    </row>
    <row r="21" spans="1:2" ht="33">
      <c r="A21" s="87" t="s">
        <v>121</v>
      </c>
      <c r="B21" s="94" t="s">
        <v>264</v>
      </c>
    </row>
    <row r="22" spans="1:2" ht="30.75">
      <c r="A22" s="95" t="s">
        <v>122</v>
      </c>
      <c r="B22" s="95" t="s">
        <v>263</v>
      </c>
    </row>
    <row r="24" ht="17.25">
      <c r="A24" s="96" t="s">
        <v>250</v>
      </c>
    </row>
  </sheetData>
  <sheetProtection/>
  <mergeCells count="5">
    <mergeCell ref="A2:B2"/>
    <mergeCell ref="A4:B4"/>
    <mergeCell ref="A5:B5"/>
    <mergeCell ref="A18:B18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90"/>
  <sheetViews>
    <sheetView zoomScalePageLayoutView="0" workbookViewId="0" topLeftCell="A1">
      <selection activeCell="A6" sqref="A1:F16384"/>
    </sheetView>
  </sheetViews>
  <sheetFormatPr defaultColWidth="9.140625" defaultRowHeight="12.75"/>
  <cols>
    <col min="1" max="1" width="4.00390625" style="2" customWidth="1"/>
    <col min="2" max="2" width="7.140625" style="2" customWidth="1"/>
    <col min="3" max="3" width="28.7109375" style="2" customWidth="1"/>
    <col min="4" max="4" width="5.8515625" style="2" customWidth="1"/>
    <col min="5" max="5" width="6.8515625" style="2" customWidth="1"/>
    <col min="6" max="6" width="10.8515625" style="2" customWidth="1"/>
    <col min="7" max="7" width="0.13671875" style="2" customWidth="1"/>
    <col min="8" max="8" width="5.57421875" style="2" hidden="1" customWidth="1"/>
    <col min="9" max="9" width="6.28125" style="2" hidden="1" customWidth="1"/>
    <col min="10" max="11" width="7.00390625" style="2" hidden="1" customWidth="1"/>
    <col min="12" max="12" width="5.8515625" style="2" hidden="1" customWidth="1"/>
    <col min="13" max="13" width="11.421875" style="2" hidden="1" customWidth="1"/>
    <col min="14" max="14" width="10.00390625" style="2" hidden="1" customWidth="1"/>
    <col min="15" max="15" width="5.00390625" style="2" hidden="1" customWidth="1"/>
    <col min="16" max="16" width="7.57421875" style="2" hidden="1" customWidth="1"/>
    <col min="17" max="17" width="8.00390625" style="2" hidden="1" customWidth="1"/>
    <col min="18" max="18" width="5.00390625" style="2" hidden="1" customWidth="1"/>
    <col min="19" max="19" width="21.8515625" style="2" customWidth="1"/>
    <col min="20" max="20" width="9.7109375" style="2" customWidth="1"/>
    <col min="21" max="21" width="9.140625" style="2" customWidth="1"/>
    <col min="22" max="22" width="11.8515625" style="2" bestFit="1" customWidth="1"/>
    <col min="23" max="16384" width="9.140625" style="2" customWidth="1"/>
  </cols>
  <sheetData>
    <row r="1" spans="1:8" ht="12.75" customHeight="1">
      <c r="A1" s="171" t="s">
        <v>223</v>
      </c>
      <c r="B1" s="171"/>
      <c r="C1" s="171"/>
      <c r="D1" s="171"/>
      <c r="E1" s="171"/>
      <c r="F1" s="100">
        <v>1983.67</v>
      </c>
      <c r="G1" s="4"/>
      <c r="H1" s="5"/>
    </row>
    <row r="2" spans="1:20" ht="24" customHeight="1">
      <c r="A2" s="172" t="s">
        <v>224</v>
      </c>
      <c r="B2" s="172"/>
      <c r="C2" s="172"/>
      <c r="D2" s="172"/>
      <c r="E2" s="172"/>
      <c r="F2" s="103">
        <v>3504.41</v>
      </c>
      <c r="G2" s="6"/>
      <c r="K2" s="7"/>
      <c r="L2" s="173" t="s">
        <v>26</v>
      </c>
      <c r="M2" s="173"/>
      <c r="N2" s="173"/>
      <c r="O2" s="173"/>
      <c r="P2" s="173"/>
      <c r="Q2" s="8"/>
      <c r="R2" s="9"/>
      <c r="S2" s="10"/>
      <c r="T2" s="100">
        <f>T88</f>
        <v>6195.719973373931</v>
      </c>
    </row>
    <row r="3" spans="1:20" ht="12.75" customHeight="1">
      <c r="A3" s="154" t="s">
        <v>18</v>
      </c>
      <c r="B3" s="168" t="s">
        <v>9</v>
      </c>
      <c r="C3" s="154" t="s">
        <v>7</v>
      </c>
      <c r="D3" s="168" t="s">
        <v>13</v>
      </c>
      <c r="E3" s="168" t="s">
        <v>16</v>
      </c>
      <c r="F3" s="177" t="s">
        <v>19</v>
      </c>
      <c r="G3" s="174" t="s">
        <v>20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68" t="s">
        <v>3</v>
      </c>
    </row>
    <row r="4" spans="1:20" ht="51" customHeight="1">
      <c r="A4" s="154"/>
      <c r="B4" s="168"/>
      <c r="C4" s="154"/>
      <c r="D4" s="168"/>
      <c r="E4" s="168"/>
      <c r="F4" s="178"/>
      <c r="G4" s="169" t="s">
        <v>8</v>
      </c>
      <c r="H4" s="169"/>
      <c r="I4" s="169"/>
      <c r="J4" s="169" t="s">
        <v>10</v>
      </c>
      <c r="K4" s="169"/>
      <c r="L4" s="169"/>
      <c r="M4" s="154" t="s">
        <v>11</v>
      </c>
      <c r="N4" s="154"/>
      <c r="O4" s="154"/>
      <c r="P4" s="154"/>
      <c r="Q4" s="154"/>
      <c r="R4" s="154"/>
      <c r="S4" s="154"/>
      <c r="T4" s="168"/>
    </row>
    <row r="5" spans="1:20" ht="69.75" customHeight="1">
      <c r="A5" s="154"/>
      <c r="B5" s="168"/>
      <c r="C5" s="154"/>
      <c r="D5" s="168"/>
      <c r="E5" s="168"/>
      <c r="F5" s="179"/>
      <c r="G5" s="12" t="s">
        <v>0</v>
      </c>
      <c r="H5" s="11">
        <f>F1/1000</f>
        <v>1.98367</v>
      </c>
      <c r="I5" s="12" t="s">
        <v>1</v>
      </c>
      <c r="J5" s="12" t="s">
        <v>0</v>
      </c>
      <c r="K5" s="11">
        <f>F2/1000</f>
        <v>3.50441</v>
      </c>
      <c r="L5" s="12" t="s">
        <v>1</v>
      </c>
      <c r="M5" s="11" t="s">
        <v>2</v>
      </c>
      <c r="N5" s="12" t="s">
        <v>21</v>
      </c>
      <c r="O5" s="12" t="s">
        <v>14</v>
      </c>
      <c r="P5" s="12" t="s">
        <v>16</v>
      </c>
      <c r="Q5" s="12" t="s">
        <v>5</v>
      </c>
      <c r="R5" s="9">
        <f>1.05*1.02*1.129</f>
        <v>1.209159</v>
      </c>
      <c r="S5" s="12" t="s">
        <v>6</v>
      </c>
      <c r="T5" s="168"/>
    </row>
    <row r="6" spans="1:20" ht="13.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f>H$5</f>
        <v>1.98367</v>
      </c>
      <c r="I6" s="14">
        <v>8</v>
      </c>
      <c r="J6" s="14">
        <v>9</v>
      </c>
      <c r="K6" s="14">
        <f>K$5</f>
        <v>3.50441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73">
        <f>R$5</f>
        <v>1.209159</v>
      </c>
      <c r="S6" s="14">
        <v>16</v>
      </c>
      <c r="T6" s="14">
        <v>17</v>
      </c>
    </row>
    <row r="7" spans="1:20" s="75" customFormat="1" ht="14.25">
      <c r="A7" s="13"/>
      <c r="B7" s="13"/>
      <c r="C7" s="64" t="s">
        <v>84</v>
      </c>
      <c r="D7" s="13"/>
      <c r="E7" s="13"/>
      <c r="F7" s="13"/>
      <c r="G7" s="13"/>
      <c r="H7" s="13"/>
      <c r="I7" s="13"/>
      <c r="J7" s="13"/>
      <c r="K7" s="14">
        <f aca="true" t="shared" si="0" ref="K7:K56">K$5</f>
        <v>3.50441</v>
      </c>
      <c r="L7" s="13"/>
      <c r="M7" s="13"/>
      <c r="N7" s="13"/>
      <c r="O7" s="13"/>
      <c r="P7" s="13"/>
      <c r="Q7" s="13"/>
      <c r="R7" s="73">
        <f aca="true" t="shared" si="1" ref="R7:R56">R$5</f>
        <v>1.209159</v>
      </c>
      <c r="S7" s="13"/>
      <c r="T7" s="16"/>
    </row>
    <row r="8" spans="1:20" s="75" customFormat="1" ht="30" customHeight="1">
      <c r="A8" s="13">
        <v>1</v>
      </c>
      <c r="B8" s="16" t="s">
        <v>89</v>
      </c>
      <c r="C8" s="23" t="s">
        <v>162</v>
      </c>
      <c r="D8" s="13" t="s">
        <v>31</v>
      </c>
      <c r="E8" s="19">
        <f>232-E9</f>
        <v>196.624</v>
      </c>
      <c r="F8" s="16">
        <f>I8+L8</f>
        <v>0.21231756000000002</v>
      </c>
      <c r="G8" s="13">
        <v>0.077</v>
      </c>
      <c r="H8" s="13">
        <f>H$6</f>
        <v>1.98367</v>
      </c>
      <c r="I8" s="16">
        <f>G8*H8</f>
        <v>0.15274259</v>
      </c>
      <c r="J8" s="13">
        <f>1.7/100</f>
        <v>0.017</v>
      </c>
      <c r="K8" s="14">
        <f t="shared" si="0"/>
        <v>3.50441</v>
      </c>
      <c r="L8" s="16">
        <f>J8*K8</f>
        <v>0.059574970000000005</v>
      </c>
      <c r="M8" s="13"/>
      <c r="N8" s="13"/>
      <c r="O8" s="13"/>
      <c r="P8" s="13"/>
      <c r="Q8" s="13"/>
      <c r="R8" s="73">
        <f t="shared" si="1"/>
        <v>1.209159</v>
      </c>
      <c r="S8" s="13"/>
      <c r="T8" s="16">
        <f>E8*F8</f>
        <v>41.746727917440005</v>
      </c>
    </row>
    <row r="9" spans="1:20" s="60" customFormat="1" ht="30" customHeight="1">
      <c r="A9" s="13">
        <v>2</v>
      </c>
      <c r="B9" s="23" t="s">
        <v>124</v>
      </c>
      <c r="C9" s="23" t="s">
        <v>163</v>
      </c>
      <c r="D9" s="13" t="s">
        <v>31</v>
      </c>
      <c r="E9" s="16">
        <f>(16.58+12.9)*2*0.6</f>
        <v>35.376</v>
      </c>
      <c r="F9" s="16">
        <f>I9+L9+S9</f>
        <v>0.10083619</v>
      </c>
      <c r="G9" s="13">
        <v>0.042</v>
      </c>
      <c r="H9" s="13">
        <f aca="true" t="shared" si="2" ref="H9:H24">H$6</f>
        <v>1.98367</v>
      </c>
      <c r="I9" s="16">
        <f>G9*H9</f>
        <v>0.08331414000000001</v>
      </c>
      <c r="J9" s="13">
        <v>0.005</v>
      </c>
      <c r="K9" s="14">
        <f t="shared" si="0"/>
        <v>3.50441</v>
      </c>
      <c r="L9" s="16">
        <f>J9*K9</f>
        <v>0.01752205</v>
      </c>
      <c r="M9" s="13"/>
      <c r="N9" s="13"/>
      <c r="O9" s="13"/>
      <c r="P9" s="13"/>
      <c r="Q9" s="13"/>
      <c r="R9" s="73">
        <f t="shared" si="1"/>
        <v>1.209159</v>
      </c>
      <c r="S9" s="13"/>
      <c r="T9" s="16">
        <f>E9*F9</f>
        <v>3.56718105744</v>
      </c>
    </row>
    <row r="10" spans="1:20" s="75" customFormat="1" ht="51" customHeight="1">
      <c r="A10" s="13">
        <v>3</v>
      </c>
      <c r="B10" s="21" t="s">
        <v>95</v>
      </c>
      <c r="C10" s="23" t="s">
        <v>140</v>
      </c>
      <c r="D10" s="13" t="s">
        <v>23</v>
      </c>
      <c r="E10" s="16">
        <v>5.4</v>
      </c>
      <c r="F10" s="16">
        <f>I10+L10</f>
        <v>25.8828024</v>
      </c>
      <c r="G10" s="13">
        <v>10.08</v>
      </c>
      <c r="H10" s="13">
        <f t="shared" si="2"/>
        <v>1.98367</v>
      </c>
      <c r="I10" s="16">
        <f>G10*H10</f>
        <v>19.9953936</v>
      </c>
      <c r="J10" s="13">
        <v>1.68</v>
      </c>
      <c r="K10" s="14">
        <f t="shared" si="0"/>
        <v>3.50441</v>
      </c>
      <c r="L10" s="16">
        <f>J10*K10</f>
        <v>5.8874088</v>
      </c>
      <c r="M10" s="23"/>
      <c r="N10" s="13"/>
      <c r="O10" s="13"/>
      <c r="P10" s="13"/>
      <c r="Q10" s="13"/>
      <c r="R10" s="73">
        <f t="shared" si="1"/>
        <v>1.209159</v>
      </c>
      <c r="S10" s="16"/>
      <c r="T10" s="16">
        <f>E10*F10</f>
        <v>139.76713296</v>
      </c>
    </row>
    <row r="11" spans="1:20" s="75" customFormat="1" ht="33.75" customHeight="1">
      <c r="A11" s="13">
        <v>4</v>
      </c>
      <c r="B11" s="21" t="s">
        <v>125</v>
      </c>
      <c r="C11" s="23" t="s">
        <v>164</v>
      </c>
      <c r="D11" s="13" t="s">
        <v>32</v>
      </c>
      <c r="E11" s="19">
        <f>8*5</f>
        <v>40</v>
      </c>
      <c r="F11" s="16">
        <f>I11+L11</f>
        <v>0.28985377199999995</v>
      </c>
      <c r="G11" s="13">
        <f>0.24*0.6</f>
        <v>0.144</v>
      </c>
      <c r="H11" s="13">
        <f t="shared" si="2"/>
        <v>1.98367</v>
      </c>
      <c r="I11" s="16">
        <f>G11*H11</f>
        <v>0.28564848</v>
      </c>
      <c r="J11" s="13">
        <f>0.12/100</f>
        <v>0.0012</v>
      </c>
      <c r="K11" s="13">
        <f t="shared" si="0"/>
        <v>3.50441</v>
      </c>
      <c r="L11" s="16">
        <f>J11*K11</f>
        <v>0.004205291999999999</v>
      </c>
      <c r="M11" s="23"/>
      <c r="N11" s="13"/>
      <c r="O11" s="13"/>
      <c r="P11" s="13"/>
      <c r="Q11" s="13"/>
      <c r="R11" s="17">
        <f t="shared" si="1"/>
        <v>1.209159</v>
      </c>
      <c r="S11" s="16"/>
      <c r="T11" s="16">
        <f>E11*F11</f>
        <v>11.594150879999997</v>
      </c>
    </row>
    <row r="12" spans="1:20" s="75" customFormat="1" ht="13.5">
      <c r="A12" s="159">
        <v>5</v>
      </c>
      <c r="B12" s="161" t="s">
        <v>126</v>
      </c>
      <c r="C12" s="162" t="s">
        <v>234</v>
      </c>
      <c r="D12" s="159" t="s">
        <v>23</v>
      </c>
      <c r="E12" s="163">
        <v>6.638</v>
      </c>
      <c r="F12" s="160">
        <f>I12+L12+S12+S13+S14+S15+S16</f>
        <v>177.78359027624998</v>
      </c>
      <c r="G12" s="159">
        <v>12.6</v>
      </c>
      <c r="H12" s="13">
        <f t="shared" si="2"/>
        <v>1.98367</v>
      </c>
      <c r="I12" s="160">
        <f>G12*H12</f>
        <v>24.994242</v>
      </c>
      <c r="J12" s="159">
        <v>2.1</v>
      </c>
      <c r="K12" s="14">
        <f t="shared" si="0"/>
        <v>3.50441</v>
      </c>
      <c r="L12" s="160">
        <f>J12*K12</f>
        <v>7.359261</v>
      </c>
      <c r="M12" s="119" t="s">
        <v>165</v>
      </c>
      <c r="N12" s="21" t="s">
        <v>188</v>
      </c>
      <c r="O12" s="13" t="s">
        <v>23</v>
      </c>
      <c r="P12" s="13">
        <v>1.05</v>
      </c>
      <c r="Q12" s="118">
        <v>107.083</v>
      </c>
      <c r="R12" s="73">
        <f t="shared" si="1"/>
        <v>1.209159</v>
      </c>
      <c r="S12" s="16">
        <f>P12*Q12*R12</f>
        <v>135.95439185685</v>
      </c>
      <c r="T12" s="160">
        <f>E12*F12</f>
        <v>1180.1274722537473</v>
      </c>
    </row>
    <row r="13" spans="1:20" s="75" customFormat="1" ht="19.5" customHeight="1">
      <c r="A13" s="159"/>
      <c r="B13" s="161"/>
      <c r="C13" s="162"/>
      <c r="D13" s="159"/>
      <c r="E13" s="163"/>
      <c r="F13" s="160"/>
      <c r="G13" s="159"/>
      <c r="H13" s="13">
        <f t="shared" si="2"/>
        <v>1.98367</v>
      </c>
      <c r="I13" s="160"/>
      <c r="J13" s="159"/>
      <c r="K13" s="14">
        <f t="shared" si="0"/>
        <v>3.50441</v>
      </c>
      <c r="L13" s="160"/>
      <c r="M13" s="61" t="s">
        <v>87</v>
      </c>
      <c r="N13" s="21"/>
      <c r="O13" s="13" t="s">
        <v>22</v>
      </c>
      <c r="P13" s="13">
        <v>4.38</v>
      </c>
      <c r="Q13" s="16">
        <v>0.5</v>
      </c>
      <c r="R13" s="73">
        <f t="shared" si="1"/>
        <v>1.209159</v>
      </c>
      <c r="S13" s="16">
        <f>P13*Q13*R13</f>
        <v>2.6480582100000003</v>
      </c>
      <c r="T13" s="160"/>
    </row>
    <row r="14" spans="1:20" s="75" customFormat="1" ht="27">
      <c r="A14" s="159"/>
      <c r="B14" s="161"/>
      <c r="C14" s="162"/>
      <c r="D14" s="159"/>
      <c r="E14" s="163"/>
      <c r="F14" s="160"/>
      <c r="G14" s="159"/>
      <c r="H14" s="13">
        <f t="shared" si="2"/>
        <v>1.98367</v>
      </c>
      <c r="I14" s="160"/>
      <c r="J14" s="159"/>
      <c r="K14" s="14">
        <f t="shared" si="0"/>
        <v>3.50441</v>
      </c>
      <c r="L14" s="160"/>
      <c r="M14" s="61" t="s">
        <v>127</v>
      </c>
      <c r="N14" s="21" t="s">
        <v>227</v>
      </c>
      <c r="O14" s="13" t="s">
        <v>22</v>
      </c>
      <c r="P14" s="13">
        <v>7.2</v>
      </c>
      <c r="Q14" s="108">
        <v>0.558</v>
      </c>
      <c r="R14" s="73">
        <f t="shared" si="1"/>
        <v>1.209159</v>
      </c>
      <c r="S14" s="16">
        <f>P14*Q14*R14</f>
        <v>4.857917198400001</v>
      </c>
      <c r="T14" s="160"/>
    </row>
    <row r="15" spans="1:20" s="75" customFormat="1" ht="13.5">
      <c r="A15" s="159"/>
      <c r="B15" s="161"/>
      <c r="C15" s="162"/>
      <c r="D15" s="159"/>
      <c r="E15" s="163"/>
      <c r="F15" s="160"/>
      <c r="G15" s="159"/>
      <c r="H15" s="13">
        <f t="shared" si="2"/>
        <v>1.98367</v>
      </c>
      <c r="I15" s="160"/>
      <c r="J15" s="159"/>
      <c r="K15" s="14">
        <f t="shared" si="0"/>
        <v>3.50441</v>
      </c>
      <c r="L15" s="160"/>
      <c r="M15" s="61" t="s">
        <v>123</v>
      </c>
      <c r="N15" s="21"/>
      <c r="O15" s="13" t="s">
        <v>22</v>
      </c>
      <c r="P15" s="13">
        <v>1.96</v>
      </c>
      <c r="Q15" s="13">
        <v>0.4</v>
      </c>
      <c r="R15" s="73">
        <f t="shared" si="1"/>
        <v>1.209159</v>
      </c>
      <c r="S15" s="16">
        <f>P15*Q15*R15</f>
        <v>0.9479806560000001</v>
      </c>
      <c r="T15" s="160"/>
    </row>
    <row r="16" spans="1:20" s="75" customFormat="1" ht="13.5">
      <c r="A16" s="159"/>
      <c r="B16" s="161"/>
      <c r="C16" s="162"/>
      <c r="D16" s="159"/>
      <c r="E16" s="163"/>
      <c r="F16" s="160"/>
      <c r="G16" s="159"/>
      <c r="H16" s="13">
        <f t="shared" si="2"/>
        <v>1.98367</v>
      </c>
      <c r="I16" s="160"/>
      <c r="J16" s="159"/>
      <c r="K16" s="14">
        <f t="shared" si="0"/>
        <v>3.50441</v>
      </c>
      <c r="L16" s="160"/>
      <c r="M16" s="61" t="s">
        <v>225</v>
      </c>
      <c r="N16" s="13"/>
      <c r="O16" s="13" t="s">
        <v>31</v>
      </c>
      <c r="P16" s="13">
        <v>3.38</v>
      </c>
      <c r="Q16" s="16">
        <v>0.25</v>
      </c>
      <c r="R16" s="73">
        <f t="shared" si="1"/>
        <v>1.209159</v>
      </c>
      <c r="S16" s="16">
        <f>P16*Q16*R16</f>
        <v>1.021739355</v>
      </c>
      <c r="T16" s="160"/>
    </row>
    <row r="17" spans="1:20" s="75" customFormat="1" ht="40.5">
      <c r="A17" s="159">
        <v>6</v>
      </c>
      <c r="B17" s="161" t="s">
        <v>78</v>
      </c>
      <c r="C17" s="162" t="s">
        <v>228</v>
      </c>
      <c r="D17" s="159" t="s">
        <v>67</v>
      </c>
      <c r="E17" s="160">
        <f>(12.9+16.58)*2+(4.78+3.63)*2</f>
        <v>75.78</v>
      </c>
      <c r="F17" s="160">
        <f>I17+L17+S17+S18+S19+S20</f>
        <v>8.017770454576</v>
      </c>
      <c r="G17" s="159">
        <v>0.408</v>
      </c>
      <c r="H17" s="13">
        <f t="shared" si="2"/>
        <v>1.98367</v>
      </c>
      <c r="I17" s="160">
        <f>G17*H17</f>
        <v>0.80933736</v>
      </c>
      <c r="J17" s="159">
        <v>0.0662</v>
      </c>
      <c r="K17" s="14">
        <f t="shared" si="0"/>
        <v>3.50441</v>
      </c>
      <c r="L17" s="160">
        <f>J17*K17</f>
        <v>0.23199194199999998</v>
      </c>
      <c r="M17" s="61" t="s">
        <v>136</v>
      </c>
      <c r="N17" s="21" t="s">
        <v>230</v>
      </c>
      <c r="O17" s="13" t="s">
        <v>31</v>
      </c>
      <c r="P17" s="108">
        <v>0.72</v>
      </c>
      <c r="Q17" s="121">
        <v>3.042</v>
      </c>
      <c r="R17" s="73">
        <f t="shared" si="1"/>
        <v>1.209159</v>
      </c>
      <c r="S17" s="16">
        <f aca="true" t="shared" si="3" ref="S17:S34">P17*Q17*R17</f>
        <v>2.64834840816</v>
      </c>
      <c r="T17" s="160">
        <f>E17*F17</f>
        <v>607.5866450477694</v>
      </c>
    </row>
    <row r="18" spans="1:20" s="75" customFormat="1" ht="17.25" customHeight="1">
      <c r="A18" s="159"/>
      <c r="B18" s="161"/>
      <c r="C18" s="162"/>
      <c r="D18" s="159"/>
      <c r="E18" s="160"/>
      <c r="F18" s="160"/>
      <c r="G18" s="159"/>
      <c r="H18" s="13">
        <f t="shared" si="2"/>
        <v>1.98367</v>
      </c>
      <c r="I18" s="160"/>
      <c r="J18" s="159"/>
      <c r="K18" s="14">
        <f t="shared" si="0"/>
        <v>3.50441</v>
      </c>
      <c r="L18" s="160"/>
      <c r="M18" s="61" t="s">
        <v>129</v>
      </c>
      <c r="N18" s="21" t="s">
        <v>229</v>
      </c>
      <c r="O18" s="13" t="s">
        <v>22</v>
      </c>
      <c r="P18" s="18">
        <v>0.128</v>
      </c>
      <c r="Q18" s="111">
        <v>1</v>
      </c>
      <c r="R18" s="73">
        <f t="shared" si="1"/>
        <v>1.209159</v>
      </c>
      <c r="S18" s="16">
        <f t="shared" si="3"/>
        <v>0.154772352</v>
      </c>
      <c r="T18" s="160"/>
    </row>
    <row r="19" spans="1:20" s="75" customFormat="1" ht="18" customHeight="1">
      <c r="A19" s="159"/>
      <c r="B19" s="161"/>
      <c r="C19" s="162"/>
      <c r="D19" s="159"/>
      <c r="E19" s="160"/>
      <c r="F19" s="160"/>
      <c r="G19" s="159"/>
      <c r="H19" s="13">
        <f t="shared" si="2"/>
        <v>1.98367</v>
      </c>
      <c r="I19" s="160"/>
      <c r="J19" s="159"/>
      <c r="K19" s="14">
        <f t="shared" si="0"/>
        <v>3.50441</v>
      </c>
      <c r="L19" s="160"/>
      <c r="M19" s="61" t="s">
        <v>142</v>
      </c>
      <c r="N19" s="21" t="s">
        <v>227</v>
      </c>
      <c r="O19" s="13" t="s">
        <v>22</v>
      </c>
      <c r="P19" s="18">
        <v>0.128</v>
      </c>
      <c r="Q19" s="108">
        <v>0.558</v>
      </c>
      <c r="R19" s="73">
        <f t="shared" si="1"/>
        <v>1.209159</v>
      </c>
      <c r="S19" s="16">
        <f t="shared" si="3"/>
        <v>0.08636297241600001</v>
      </c>
      <c r="T19" s="160"/>
    </row>
    <row r="20" spans="1:20" s="75" customFormat="1" ht="18" customHeight="1">
      <c r="A20" s="159"/>
      <c r="B20" s="161"/>
      <c r="C20" s="162"/>
      <c r="D20" s="159"/>
      <c r="E20" s="160"/>
      <c r="F20" s="160"/>
      <c r="G20" s="159"/>
      <c r="H20" s="13">
        <f t="shared" si="2"/>
        <v>1.98367</v>
      </c>
      <c r="I20" s="160"/>
      <c r="J20" s="159"/>
      <c r="K20" s="14">
        <f t="shared" si="0"/>
        <v>3.50441</v>
      </c>
      <c r="L20" s="160"/>
      <c r="M20" s="61" t="s">
        <v>71</v>
      </c>
      <c r="N20" s="21" t="s">
        <v>231</v>
      </c>
      <c r="O20" s="13" t="s">
        <v>22</v>
      </c>
      <c r="P20" s="13">
        <v>1.69</v>
      </c>
      <c r="Q20" s="111">
        <v>2</v>
      </c>
      <c r="R20" s="73">
        <f t="shared" si="1"/>
        <v>1.209159</v>
      </c>
      <c r="S20" s="16">
        <f t="shared" si="3"/>
        <v>4.08695742</v>
      </c>
      <c r="T20" s="160"/>
    </row>
    <row r="21" spans="1:20" s="60" customFormat="1" ht="24" customHeight="1">
      <c r="A21" s="159">
        <v>7</v>
      </c>
      <c r="B21" s="161" t="s">
        <v>128</v>
      </c>
      <c r="C21" s="162" t="s">
        <v>233</v>
      </c>
      <c r="D21" s="159" t="s">
        <v>70</v>
      </c>
      <c r="E21" s="165">
        <v>1.966</v>
      </c>
      <c r="F21" s="160">
        <f>I21+L21+S21+S22</f>
        <v>868.2747081550001</v>
      </c>
      <c r="G21" s="159">
        <v>18.1</v>
      </c>
      <c r="H21" s="13">
        <f t="shared" si="2"/>
        <v>1.98367</v>
      </c>
      <c r="I21" s="160">
        <f>G21*H21</f>
        <v>35.904427000000005</v>
      </c>
      <c r="J21" s="160">
        <v>15.3</v>
      </c>
      <c r="K21" s="14">
        <f t="shared" si="0"/>
        <v>3.50441</v>
      </c>
      <c r="L21" s="160">
        <f>J21*K21</f>
        <v>53.617473000000004</v>
      </c>
      <c r="M21" s="61" t="s">
        <v>69</v>
      </c>
      <c r="N21" s="21" t="s">
        <v>232</v>
      </c>
      <c r="O21" s="13" t="s">
        <v>31</v>
      </c>
      <c r="P21" s="19">
        <v>115</v>
      </c>
      <c r="Q21" s="108">
        <v>5.583</v>
      </c>
      <c r="R21" s="73">
        <f t="shared" si="1"/>
        <v>1.209159</v>
      </c>
      <c r="S21" s="16">
        <f t="shared" si="3"/>
        <v>776.3344901550001</v>
      </c>
      <c r="T21" s="160">
        <f>E21*F21</f>
        <v>1707.0280762327302</v>
      </c>
    </row>
    <row r="22" spans="1:20" s="60" customFormat="1" ht="40.5" customHeight="1">
      <c r="A22" s="159"/>
      <c r="B22" s="161"/>
      <c r="C22" s="162"/>
      <c r="D22" s="159"/>
      <c r="E22" s="165"/>
      <c r="F22" s="160"/>
      <c r="G22" s="159"/>
      <c r="H22" s="13">
        <f t="shared" si="2"/>
        <v>1.98367</v>
      </c>
      <c r="I22" s="160"/>
      <c r="J22" s="160"/>
      <c r="K22" s="14">
        <f t="shared" si="0"/>
        <v>3.50441</v>
      </c>
      <c r="L22" s="160"/>
      <c r="M22" s="61" t="s">
        <v>129</v>
      </c>
      <c r="N22" s="13" t="s">
        <v>229</v>
      </c>
      <c r="O22" s="13" t="s">
        <v>22</v>
      </c>
      <c r="P22" s="19">
        <v>2</v>
      </c>
      <c r="Q22" s="120">
        <v>1</v>
      </c>
      <c r="R22" s="73">
        <f t="shared" si="1"/>
        <v>1.209159</v>
      </c>
      <c r="S22" s="16">
        <f t="shared" si="3"/>
        <v>2.418318</v>
      </c>
      <c r="T22" s="160"/>
    </row>
    <row r="23" spans="1:20" s="75" customFormat="1" ht="29.25" customHeight="1">
      <c r="A23" s="159">
        <v>8</v>
      </c>
      <c r="B23" s="161" t="s">
        <v>72</v>
      </c>
      <c r="C23" s="162" t="s">
        <v>166</v>
      </c>
      <c r="D23" s="159" t="s">
        <v>31</v>
      </c>
      <c r="E23" s="167">
        <v>16</v>
      </c>
      <c r="F23" s="160">
        <f>I23+L23+S23+S24</f>
        <v>4.833430062900001</v>
      </c>
      <c r="G23" s="159">
        <v>0.458</v>
      </c>
      <c r="H23" s="13">
        <f t="shared" si="2"/>
        <v>1.98367</v>
      </c>
      <c r="I23" s="160">
        <f>G23*H23</f>
        <v>0.9085208600000001</v>
      </c>
      <c r="J23" s="159">
        <v>0.0041</v>
      </c>
      <c r="K23" s="14">
        <f t="shared" si="0"/>
        <v>3.50441</v>
      </c>
      <c r="L23" s="160">
        <f>J23*K23</f>
        <v>0.014368081000000001</v>
      </c>
      <c r="M23" s="61" t="s">
        <v>79</v>
      </c>
      <c r="N23" s="21" t="s">
        <v>230</v>
      </c>
      <c r="O23" s="13" t="s">
        <v>31</v>
      </c>
      <c r="P23" s="13">
        <v>1.05</v>
      </c>
      <c r="Q23" s="108">
        <v>3.042</v>
      </c>
      <c r="R23" s="73">
        <f t="shared" si="1"/>
        <v>1.209159</v>
      </c>
      <c r="S23" s="16">
        <f t="shared" si="3"/>
        <v>3.8621747619000004</v>
      </c>
      <c r="T23" s="160">
        <f>E23*F23</f>
        <v>77.33488100640001</v>
      </c>
    </row>
    <row r="24" spans="1:20" s="75" customFormat="1" ht="21" customHeight="1">
      <c r="A24" s="159"/>
      <c r="B24" s="161"/>
      <c r="C24" s="162"/>
      <c r="D24" s="159"/>
      <c r="E24" s="167"/>
      <c r="F24" s="160"/>
      <c r="G24" s="159"/>
      <c r="H24" s="13">
        <f t="shared" si="2"/>
        <v>1.98367</v>
      </c>
      <c r="I24" s="160"/>
      <c r="J24" s="159"/>
      <c r="K24" s="14">
        <f t="shared" si="0"/>
        <v>3.50441</v>
      </c>
      <c r="L24" s="160"/>
      <c r="M24" s="61" t="s">
        <v>73</v>
      </c>
      <c r="N24" s="21" t="s">
        <v>229</v>
      </c>
      <c r="O24" s="13" t="s">
        <v>22</v>
      </c>
      <c r="P24" s="13">
        <v>0.04</v>
      </c>
      <c r="Q24" s="111">
        <v>1</v>
      </c>
      <c r="R24" s="73">
        <f t="shared" si="1"/>
        <v>1.209159</v>
      </c>
      <c r="S24" s="16">
        <f t="shared" si="3"/>
        <v>0.048366360000000004</v>
      </c>
      <c r="T24" s="160"/>
    </row>
    <row r="25" spans="1:20" s="75" customFormat="1" ht="18.75" customHeight="1">
      <c r="A25" s="159">
        <v>9</v>
      </c>
      <c r="B25" s="159" t="s">
        <v>137</v>
      </c>
      <c r="C25" s="162" t="s">
        <v>138</v>
      </c>
      <c r="D25" s="159" t="s">
        <v>32</v>
      </c>
      <c r="E25" s="167">
        <f>5.2*8</f>
        <v>41.6</v>
      </c>
      <c r="F25" s="160">
        <f>I25+L25+S25+S26+S27</f>
        <v>4.928651626830001</v>
      </c>
      <c r="G25" s="159">
        <v>0.24</v>
      </c>
      <c r="H25" s="13">
        <f>H$10</f>
        <v>1.98367</v>
      </c>
      <c r="I25" s="160">
        <f>G25*H25</f>
        <v>0.47608079999999997</v>
      </c>
      <c r="J25" s="159"/>
      <c r="K25" s="14">
        <f t="shared" si="0"/>
        <v>3.50441</v>
      </c>
      <c r="L25" s="160">
        <f>J25*K25</f>
        <v>0</v>
      </c>
      <c r="M25" s="61" t="s">
        <v>17</v>
      </c>
      <c r="N25" s="13" t="s">
        <v>235</v>
      </c>
      <c r="O25" s="13" t="s">
        <v>32</v>
      </c>
      <c r="P25" s="13">
        <v>1.03</v>
      </c>
      <c r="Q25" s="121">
        <v>1.729</v>
      </c>
      <c r="R25" s="73">
        <f t="shared" si="1"/>
        <v>1.209159</v>
      </c>
      <c r="S25" s="16">
        <f t="shared" si="3"/>
        <v>2.1533549883300003</v>
      </c>
      <c r="T25" s="160">
        <f>E25*F25</f>
        <v>205.03190767612804</v>
      </c>
    </row>
    <row r="26" spans="1:20" s="75" customFormat="1" ht="20.25" customHeight="1">
      <c r="A26" s="159"/>
      <c r="B26" s="159"/>
      <c r="C26" s="162"/>
      <c r="D26" s="159"/>
      <c r="E26" s="167"/>
      <c r="F26" s="160"/>
      <c r="G26" s="159"/>
      <c r="H26" s="13">
        <f>H$10</f>
        <v>1.98367</v>
      </c>
      <c r="I26" s="160"/>
      <c r="J26" s="159"/>
      <c r="K26" s="14">
        <f t="shared" si="0"/>
        <v>3.50441</v>
      </c>
      <c r="L26" s="160"/>
      <c r="M26" s="61" t="s">
        <v>71</v>
      </c>
      <c r="N26" s="21" t="s">
        <v>231</v>
      </c>
      <c r="O26" s="13" t="s">
        <v>22</v>
      </c>
      <c r="P26" s="13">
        <v>0.95</v>
      </c>
      <c r="Q26" s="111">
        <v>2</v>
      </c>
      <c r="R26" s="73">
        <f t="shared" si="1"/>
        <v>1.209159</v>
      </c>
      <c r="S26" s="16">
        <f t="shared" si="3"/>
        <v>2.2974021000000002</v>
      </c>
      <c r="T26" s="160"/>
    </row>
    <row r="27" spans="1:20" s="75" customFormat="1" ht="20.25" customHeight="1">
      <c r="A27" s="159"/>
      <c r="B27" s="159"/>
      <c r="C27" s="162"/>
      <c r="D27" s="159"/>
      <c r="E27" s="167"/>
      <c r="F27" s="160"/>
      <c r="G27" s="159"/>
      <c r="H27" s="13">
        <f>H$10</f>
        <v>1.98367</v>
      </c>
      <c r="I27" s="160"/>
      <c r="J27" s="159"/>
      <c r="K27" s="14">
        <f t="shared" si="0"/>
        <v>3.50441</v>
      </c>
      <c r="L27" s="160"/>
      <c r="M27" s="61" t="s">
        <v>87</v>
      </c>
      <c r="N27" s="21"/>
      <c r="O27" s="13" t="s">
        <v>22</v>
      </c>
      <c r="P27" s="13">
        <v>0.003</v>
      </c>
      <c r="Q27" s="16">
        <v>0.5</v>
      </c>
      <c r="R27" s="73">
        <f t="shared" si="1"/>
        <v>1.209159</v>
      </c>
      <c r="S27" s="18">
        <f t="shared" si="3"/>
        <v>0.0018137385000000002</v>
      </c>
      <c r="T27" s="160"/>
    </row>
    <row r="28" spans="1:20" s="75" customFormat="1" ht="21" customHeight="1">
      <c r="A28" s="13">
        <v>10</v>
      </c>
      <c r="B28" s="20" t="s">
        <v>29</v>
      </c>
      <c r="C28" s="61" t="s">
        <v>139</v>
      </c>
      <c r="D28" s="13" t="s">
        <v>33</v>
      </c>
      <c r="E28" s="19">
        <v>8</v>
      </c>
      <c r="F28" s="16">
        <f>I28+L28+S28</f>
        <v>2.2671731250000002</v>
      </c>
      <c r="G28" s="13"/>
      <c r="H28" s="13">
        <f>H$10</f>
        <v>1.98367</v>
      </c>
      <c r="I28" s="16">
        <f>G28*H28</f>
        <v>0</v>
      </c>
      <c r="J28" s="13"/>
      <c r="K28" s="14">
        <f t="shared" si="0"/>
        <v>3.50441</v>
      </c>
      <c r="L28" s="16">
        <f>J28*K28</f>
        <v>0</v>
      </c>
      <c r="M28" s="61" t="s">
        <v>88</v>
      </c>
      <c r="N28" s="13" t="s">
        <v>236</v>
      </c>
      <c r="O28" s="13" t="s">
        <v>33</v>
      </c>
      <c r="P28" s="19">
        <v>1</v>
      </c>
      <c r="Q28" s="108">
        <v>1.875</v>
      </c>
      <c r="R28" s="73">
        <f t="shared" si="1"/>
        <v>1.209159</v>
      </c>
      <c r="S28" s="16">
        <f t="shared" si="3"/>
        <v>2.2671731250000002</v>
      </c>
      <c r="T28" s="16">
        <f>E28*F28</f>
        <v>18.137385000000002</v>
      </c>
    </row>
    <row r="29" spans="1:20" s="75" customFormat="1" ht="33.75" customHeight="1">
      <c r="A29" s="159">
        <v>11</v>
      </c>
      <c r="B29" s="159" t="s">
        <v>130</v>
      </c>
      <c r="C29" s="162" t="s">
        <v>131</v>
      </c>
      <c r="D29" s="159" t="s">
        <v>23</v>
      </c>
      <c r="E29" s="164">
        <v>6.638</v>
      </c>
      <c r="F29" s="160">
        <f>I29+L29+S29+S30+S31</f>
        <v>6.104337303000001</v>
      </c>
      <c r="G29" s="159">
        <v>0.46</v>
      </c>
      <c r="H29" s="13">
        <f aca="true" t="shared" si="4" ref="H29:H34">H$5</f>
        <v>1.98367</v>
      </c>
      <c r="I29" s="160">
        <f>G29*H29</f>
        <v>0.9124882000000001</v>
      </c>
      <c r="J29" s="159">
        <v>0.13</v>
      </c>
      <c r="K29" s="14">
        <f t="shared" si="0"/>
        <v>3.50441</v>
      </c>
      <c r="L29" s="160">
        <f>J29*K29</f>
        <v>0.4555733</v>
      </c>
      <c r="M29" s="61" t="s">
        <v>132</v>
      </c>
      <c r="N29" s="21"/>
      <c r="O29" s="13" t="s">
        <v>22</v>
      </c>
      <c r="P29" s="13">
        <v>7.2</v>
      </c>
      <c r="Q29" s="13">
        <v>0.4</v>
      </c>
      <c r="R29" s="73">
        <f t="shared" si="1"/>
        <v>1.209159</v>
      </c>
      <c r="S29" s="16">
        <f t="shared" si="3"/>
        <v>3.4823779200000007</v>
      </c>
      <c r="T29" s="160">
        <f>E29*F29</f>
        <v>40.520591017314004</v>
      </c>
    </row>
    <row r="30" spans="1:20" s="75" customFormat="1" ht="18.75" customHeight="1">
      <c r="A30" s="159"/>
      <c r="B30" s="159"/>
      <c r="C30" s="162"/>
      <c r="D30" s="159"/>
      <c r="E30" s="164"/>
      <c r="F30" s="160"/>
      <c r="G30" s="159"/>
      <c r="H30" s="13">
        <f t="shared" si="4"/>
        <v>1.98367</v>
      </c>
      <c r="I30" s="160"/>
      <c r="J30" s="159"/>
      <c r="K30" s="14">
        <f t="shared" si="0"/>
        <v>3.50441</v>
      </c>
      <c r="L30" s="160"/>
      <c r="M30" s="61" t="s">
        <v>143</v>
      </c>
      <c r="N30" s="13"/>
      <c r="O30" s="13" t="s">
        <v>22</v>
      </c>
      <c r="P30" s="13">
        <v>1.79</v>
      </c>
      <c r="Q30" s="13">
        <v>0.4</v>
      </c>
      <c r="R30" s="73">
        <f t="shared" si="1"/>
        <v>1.209159</v>
      </c>
      <c r="S30" s="16">
        <f t="shared" si="3"/>
        <v>0.8657578440000002</v>
      </c>
      <c r="T30" s="160"/>
    </row>
    <row r="31" spans="1:20" s="75" customFormat="1" ht="19.5" customHeight="1">
      <c r="A31" s="159"/>
      <c r="B31" s="159"/>
      <c r="C31" s="162"/>
      <c r="D31" s="159"/>
      <c r="E31" s="164"/>
      <c r="F31" s="160"/>
      <c r="G31" s="159"/>
      <c r="H31" s="13">
        <f t="shared" si="4"/>
        <v>1.98367</v>
      </c>
      <c r="I31" s="160"/>
      <c r="J31" s="159"/>
      <c r="K31" s="14">
        <f t="shared" si="0"/>
        <v>3.50441</v>
      </c>
      <c r="L31" s="160"/>
      <c r="M31" s="61" t="s">
        <v>133</v>
      </c>
      <c r="N31" s="13"/>
      <c r="O31" s="13" t="s">
        <v>22</v>
      </c>
      <c r="P31" s="13">
        <v>1.07</v>
      </c>
      <c r="Q31" s="13">
        <v>0.3</v>
      </c>
      <c r="R31" s="73">
        <f t="shared" si="1"/>
        <v>1.209159</v>
      </c>
      <c r="S31" s="16">
        <f t="shared" si="3"/>
        <v>0.38814003900000005</v>
      </c>
      <c r="T31" s="160"/>
    </row>
    <row r="32" spans="1:20" s="75" customFormat="1" ht="31.5" customHeight="1">
      <c r="A32" s="159">
        <v>12</v>
      </c>
      <c r="B32" s="159" t="s">
        <v>134</v>
      </c>
      <c r="C32" s="162" t="s">
        <v>141</v>
      </c>
      <c r="D32" s="159" t="s">
        <v>135</v>
      </c>
      <c r="E32" s="166">
        <v>2.32</v>
      </c>
      <c r="F32" s="160">
        <f>I32+L32+S32+S33+S34</f>
        <v>19.823130990000003</v>
      </c>
      <c r="G32" s="159">
        <v>1.6</v>
      </c>
      <c r="H32" s="13">
        <f t="shared" si="4"/>
        <v>1.98367</v>
      </c>
      <c r="I32" s="160">
        <f>G32*H32</f>
        <v>3.1738720000000002</v>
      </c>
      <c r="J32" s="159">
        <v>0.4</v>
      </c>
      <c r="K32" s="14">
        <f t="shared" si="0"/>
        <v>3.50441</v>
      </c>
      <c r="L32" s="160">
        <f>J32*K32</f>
        <v>1.401764</v>
      </c>
      <c r="M32" s="61" t="s">
        <v>132</v>
      </c>
      <c r="N32" s="21"/>
      <c r="O32" s="13" t="s">
        <v>22</v>
      </c>
      <c r="P32" s="13">
        <v>23.1</v>
      </c>
      <c r="Q32" s="13">
        <v>0.4</v>
      </c>
      <c r="R32" s="73">
        <f t="shared" si="1"/>
        <v>1.209159</v>
      </c>
      <c r="S32" s="16">
        <f t="shared" si="3"/>
        <v>11.172629160000001</v>
      </c>
      <c r="T32" s="160">
        <f>E32*F32</f>
        <v>45.9896638968</v>
      </c>
    </row>
    <row r="33" spans="1:20" s="75" customFormat="1" ht="20.25" customHeight="1">
      <c r="A33" s="159"/>
      <c r="B33" s="159"/>
      <c r="C33" s="162"/>
      <c r="D33" s="159"/>
      <c r="E33" s="166"/>
      <c r="F33" s="160"/>
      <c r="G33" s="159"/>
      <c r="H33" s="13">
        <f t="shared" si="4"/>
        <v>1.98367</v>
      </c>
      <c r="I33" s="160"/>
      <c r="J33" s="159"/>
      <c r="K33" s="14">
        <f t="shared" si="0"/>
        <v>3.50441</v>
      </c>
      <c r="L33" s="160"/>
      <c r="M33" s="61" t="s">
        <v>143</v>
      </c>
      <c r="N33" s="13"/>
      <c r="O33" s="13" t="s">
        <v>22</v>
      </c>
      <c r="P33" s="13">
        <v>5.8</v>
      </c>
      <c r="Q33" s="13">
        <v>0.4</v>
      </c>
      <c r="R33" s="73">
        <f t="shared" si="1"/>
        <v>1.209159</v>
      </c>
      <c r="S33" s="16">
        <f t="shared" si="3"/>
        <v>2.80524888</v>
      </c>
      <c r="T33" s="160"/>
    </row>
    <row r="34" spans="1:20" s="75" customFormat="1" ht="17.25" customHeight="1">
      <c r="A34" s="159"/>
      <c r="B34" s="159"/>
      <c r="C34" s="162"/>
      <c r="D34" s="159"/>
      <c r="E34" s="166"/>
      <c r="F34" s="160"/>
      <c r="G34" s="159"/>
      <c r="H34" s="13">
        <f t="shared" si="4"/>
        <v>1.98367</v>
      </c>
      <c r="I34" s="160"/>
      <c r="J34" s="159"/>
      <c r="K34" s="14">
        <f t="shared" si="0"/>
        <v>3.50441</v>
      </c>
      <c r="L34" s="160"/>
      <c r="M34" s="61" t="s">
        <v>133</v>
      </c>
      <c r="N34" s="13"/>
      <c r="O34" s="13" t="s">
        <v>22</v>
      </c>
      <c r="P34" s="13">
        <v>3.5</v>
      </c>
      <c r="Q34" s="13">
        <v>0.3</v>
      </c>
      <c r="R34" s="73">
        <f t="shared" si="1"/>
        <v>1.209159</v>
      </c>
      <c r="S34" s="16">
        <f t="shared" si="3"/>
        <v>1.26961695</v>
      </c>
      <c r="T34" s="160"/>
    </row>
    <row r="35" spans="1:20" s="75" customFormat="1" ht="20.25" customHeight="1">
      <c r="A35" s="13"/>
      <c r="B35" s="13"/>
      <c r="C35" s="15" t="s">
        <v>44</v>
      </c>
      <c r="D35" s="13"/>
      <c r="E35" s="16"/>
      <c r="F35" s="16"/>
      <c r="G35" s="13"/>
      <c r="H35" s="13"/>
      <c r="I35" s="16"/>
      <c r="J35" s="13"/>
      <c r="K35" s="14">
        <f t="shared" si="0"/>
        <v>3.50441</v>
      </c>
      <c r="L35" s="16"/>
      <c r="M35" s="61"/>
      <c r="N35" s="13"/>
      <c r="O35" s="13"/>
      <c r="P35" s="13"/>
      <c r="Q35" s="13"/>
      <c r="R35" s="73">
        <f t="shared" si="1"/>
        <v>1.209159</v>
      </c>
      <c r="S35" s="16"/>
      <c r="T35" s="25">
        <f>SUM(T8:T34)</f>
        <v>4078.4318149457686</v>
      </c>
    </row>
    <row r="36" spans="1:20" s="75" customFormat="1" ht="20.25" customHeight="1">
      <c r="A36" s="13"/>
      <c r="B36" s="13"/>
      <c r="C36" s="15" t="s">
        <v>175</v>
      </c>
      <c r="D36" s="13"/>
      <c r="E36" s="16"/>
      <c r="F36" s="16"/>
      <c r="G36" s="13"/>
      <c r="H36" s="13"/>
      <c r="I36" s="16"/>
      <c r="J36" s="13"/>
      <c r="K36" s="14"/>
      <c r="L36" s="16"/>
      <c r="M36" s="61"/>
      <c r="N36" s="13"/>
      <c r="O36" s="13"/>
      <c r="P36" s="13"/>
      <c r="Q36" s="13"/>
      <c r="R36" s="73"/>
      <c r="S36" s="16"/>
      <c r="T36" s="25"/>
    </row>
    <row r="37" spans="1:168" s="60" customFormat="1" ht="46.5" customHeight="1">
      <c r="A37" s="14">
        <v>1</v>
      </c>
      <c r="B37" s="20" t="s">
        <v>177</v>
      </c>
      <c r="C37" s="61" t="s">
        <v>176</v>
      </c>
      <c r="D37" s="13" t="s">
        <v>33</v>
      </c>
      <c r="E37" s="111">
        <v>3</v>
      </c>
      <c r="F37" s="16">
        <f>I37+L37+S37</f>
        <v>6.9825184</v>
      </c>
      <c r="G37" s="16">
        <v>3.52</v>
      </c>
      <c r="H37" s="13">
        <f>H$5</f>
        <v>1.98367</v>
      </c>
      <c r="I37" s="16">
        <f>G37*H37</f>
        <v>6.9825184</v>
      </c>
      <c r="J37" s="16"/>
      <c r="K37" s="67">
        <f>K$5</f>
        <v>3.50441</v>
      </c>
      <c r="L37" s="16">
        <f>J37*K37</f>
        <v>0</v>
      </c>
      <c r="M37" s="13"/>
      <c r="N37" s="13"/>
      <c r="O37" s="13"/>
      <c r="P37" s="19"/>
      <c r="Q37" s="13"/>
      <c r="R37" s="67">
        <f>R$5</f>
        <v>1.209159</v>
      </c>
      <c r="S37" s="57">
        <f aca="true" t="shared" si="5" ref="S37:S42">P37*Q37*R37</f>
        <v>0</v>
      </c>
      <c r="T37" s="57">
        <f>E37*F37</f>
        <v>20.9475552</v>
      </c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</row>
    <row r="38" spans="1:168" s="60" customFormat="1" ht="21.75" customHeight="1">
      <c r="A38" s="14">
        <v>2</v>
      </c>
      <c r="B38" s="20" t="s">
        <v>29</v>
      </c>
      <c r="C38" s="61" t="s">
        <v>178</v>
      </c>
      <c r="D38" s="13" t="s">
        <v>32</v>
      </c>
      <c r="E38" s="111">
        <v>54</v>
      </c>
      <c r="F38" s="16">
        <f>I38+L38+S38</f>
        <v>1.1716750710000001</v>
      </c>
      <c r="G38" s="16"/>
      <c r="H38" s="13">
        <f>H$5</f>
        <v>1.98367</v>
      </c>
      <c r="I38" s="16">
        <f>G38*H38</f>
        <v>0</v>
      </c>
      <c r="J38" s="16"/>
      <c r="K38" s="67">
        <f t="shared" si="0"/>
        <v>3.50441</v>
      </c>
      <c r="L38" s="16">
        <f>J38*K38</f>
        <v>0</v>
      </c>
      <c r="M38" s="61" t="s">
        <v>17</v>
      </c>
      <c r="N38" s="13" t="s">
        <v>187</v>
      </c>
      <c r="O38" s="13" t="s">
        <v>32</v>
      </c>
      <c r="P38" s="19">
        <v>1</v>
      </c>
      <c r="Q38" s="108">
        <v>0.969</v>
      </c>
      <c r="R38" s="67">
        <f t="shared" si="1"/>
        <v>1.209159</v>
      </c>
      <c r="S38" s="57">
        <f t="shared" si="5"/>
        <v>1.1716750710000001</v>
      </c>
      <c r="T38" s="57">
        <f>E38*F38</f>
        <v>63.27045383400001</v>
      </c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</row>
    <row r="39" spans="1:168" s="60" customFormat="1" ht="16.5" customHeight="1">
      <c r="A39" s="14">
        <v>3</v>
      </c>
      <c r="B39" s="20" t="s">
        <v>29</v>
      </c>
      <c r="C39" s="61" t="s">
        <v>180</v>
      </c>
      <c r="D39" s="13" t="s">
        <v>23</v>
      </c>
      <c r="E39" s="121">
        <f>60*0.06*0.03</f>
        <v>0.10799999999999998</v>
      </c>
      <c r="F39" s="16">
        <f>I39+L39+S39</f>
        <v>156.73682426094</v>
      </c>
      <c r="G39" s="16"/>
      <c r="H39" s="13">
        <f>H$5</f>
        <v>1.98367</v>
      </c>
      <c r="I39" s="16">
        <f>G39*H39</f>
        <v>0</v>
      </c>
      <c r="J39" s="16"/>
      <c r="K39" s="67">
        <f t="shared" si="0"/>
        <v>3.50441</v>
      </c>
      <c r="L39" s="16">
        <f>J39*K39</f>
        <v>0</v>
      </c>
      <c r="M39" s="61" t="s">
        <v>179</v>
      </c>
      <c r="N39" s="21" t="s">
        <v>188</v>
      </c>
      <c r="O39" s="13" t="s">
        <v>23</v>
      </c>
      <c r="P39" s="19">
        <v>1.02</v>
      </c>
      <c r="Q39" s="108">
        <v>127.083</v>
      </c>
      <c r="R39" s="67">
        <f t="shared" si="1"/>
        <v>1.209159</v>
      </c>
      <c r="S39" s="57">
        <f t="shared" si="5"/>
        <v>156.73682426094</v>
      </c>
      <c r="T39" s="57">
        <f>E39*F39</f>
        <v>16.92757702018152</v>
      </c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</row>
    <row r="40" spans="1:20" s="60" customFormat="1" ht="23.25" customHeight="1">
      <c r="A40" s="154">
        <v>4</v>
      </c>
      <c r="B40" s="155" t="s">
        <v>74</v>
      </c>
      <c r="C40" s="156" t="s">
        <v>185</v>
      </c>
      <c r="D40" s="154" t="s">
        <v>77</v>
      </c>
      <c r="E40" s="157">
        <f>E38*0.03*4</f>
        <v>6.4799999999999995</v>
      </c>
      <c r="F40" s="158">
        <f>I40+L40+S40+S41</f>
        <v>1.0266881753840427</v>
      </c>
      <c r="G40" s="154">
        <f>38.4/100</f>
        <v>0.384</v>
      </c>
      <c r="H40" s="11">
        <f>H$6</f>
        <v>1.98367</v>
      </c>
      <c r="I40" s="158">
        <f>G40*H40</f>
        <v>0.7617292800000001</v>
      </c>
      <c r="J40" s="154"/>
      <c r="K40" s="11">
        <f>K$6</f>
        <v>3.50441</v>
      </c>
      <c r="L40" s="158">
        <f>J40*K40</f>
        <v>0</v>
      </c>
      <c r="M40" s="59" t="s">
        <v>75</v>
      </c>
      <c r="N40" s="62" t="s">
        <v>186</v>
      </c>
      <c r="O40" s="11" t="s">
        <v>22</v>
      </c>
      <c r="P40" s="11">
        <v>0.244</v>
      </c>
      <c r="Q40" s="109">
        <v>0.8</v>
      </c>
      <c r="R40" s="74">
        <f>R$6</f>
        <v>1.209159</v>
      </c>
      <c r="S40" s="57">
        <f t="shared" si="5"/>
        <v>0.23602783680000003</v>
      </c>
      <c r="T40" s="158">
        <f>E40*F40</f>
        <v>6.652939376488596</v>
      </c>
    </row>
    <row r="41" spans="1:20" s="60" customFormat="1" ht="20.25" customHeight="1">
      <c r="A41" s="154"/>
      <c r="B41" s="155"/>
      <c r="C41" s="156"/>
      <c r="D41" s="154"/>
      <c r="E41" s="157"/>
      <c r="F41" s="158"/>
      <c r="G41" s="154"/>
      <c r="H41" s="11">
        <f>H$6</f>
        <v>1.98367</v>
      </c>
      <c r="I41" s="158"/>
      <c r="J41" s="154"/>
      <c r="K41" s="11">
        <f>K$6</f>
        <v>3.50441</v>
      </c>
      <c r="L41" s="158"/>
      <c r="M41" s="59" t="s">
        <v>76</v>
      </c>
      <c r="N41" s="11" t="s">
        <v>171</v>
      </c>
      <c r="O41" s="11" t="s">
        <v>22</v>
      </c>
      <c r="P41" s="11">
        <f>2.7/100</f>
        <v>0.027000000000000003</v>
      </c>
      <c r="Q41" s="110">
        <f>0.833/0.94</f>
        <v>0.8861702127659574</v>
      </c>
      <c r="R41" s="74">
        <f>R$6</f>
        <v>1.209159</v>
      </c>
      <c r="S41" s="57">
        <f t="shared" si="5"/>
        <v>0.02893105858404256</v>
      </c>
      <c r="T41" s="158"/>
    </row>
    <row r="42" spans="1:20" s="60" customFormat="1" ht="33" customHeight="1">
      <c r="A42" s="13">
        <v>5</v>
      </c>
      <c r="B42" s="20" t="s">
        <v>181</v>
      </c>
      <c r="C42" s="61" t="s">
        <v>182</v>
      </c>
      <c r="D42" s="13" t="s">
        <v>77</v>
      </c>
      <c r="E42" s="120">
        <f>0.09*2*60</f>
        <v>10.799999999999999</v>
      </c>
      <c r="F42" s="16">
        <f>I42+L42+S42</f>
        <v>0.7398405397760001</v>
      </c>
      <c r="G42" s="13">
        <v>0.074</v>
      </c>
      <c r="H42" s="13">
        <f>H$6</f>
        <v>1.98367</v>
      </c>
      <c r="I42" s="16">
        <f>G42*H42</f>
        <v>0.14679158</v>
      </c>
      <c r="J42" s="13"/>
      <c r="K42" s="13">
        <f>K$6</f>
        <v>3.50441</v>
      </c>
      <c r="L42" s="16">
        <f>J42*K42</f>
        <v>0</v>
      </c>
      <c r="M42" s="61" t="s">
        <v>183</v>
      </c>
      <c r="N42" s="22" t="s">
        <v>184</v>
      </c>
      <c r="O42" s="13" t="s">
        <v>22</v>
      </c>
      <c r="P42" s="13">
        <v>0.208</v>
      </c>
      <c r="Q42" s="108">
        <v>2.358</v>
      </c>
      <c r="R42" s="13">
        <f>R$6</f>
        <v>1.209159</v>
      </c>
      <c r="S42" s="16">
        <f t="shared" si="5"/>
        <v>0.593048959776</v>
      </c>
      <c r="T42" s="16">
        <f>E42*F42</f>
        <v>7.9902778295807995</v>
      </c>
    </row>
    <row r="43" spans="1:20" s="60" customFormat="1" ht="25.5" customHeight="1">
      <c r="A43" s="13"/>
      <c r="B43" s="20"/>
      <c r="C43" s="15" t="s">
        <v>44</v>
      </c>
      <c r="D43" s="13"/>
      <c r="E43" s="16"/>
      <c r="F43" s="16"/>
      <c r="G43" s="13"/>
      <c r="H43" s="13"/>
      <c r="I43" s="16"/>
      <c r="J43" s="13"/>
      <c r="K43" s="13"/>
      <c r="L43" s="16"/>
      <c r="M43" s="61"/>
      <c r="N43" s="22"/>
      <c r="O43" s="13"/>
      <c r="P43" s="13"/>
      <c r="Q43" s="13"/>
      <c r="R43" s="13"/>
      <c r="S43" s="16"/>
      <c r="T43" s="25">
        <f>SUM(T37:T42)</f>
        <v>115.78880326025092</v>
      </c>
    </row>
    <row r="44" spans="1:20" s="60" customFormat="1" ht="25.5" customHeight="1">
      <c r="A44" s="13"/>
      <c r="B44" s="20"/>
      <c r="C44" s="15" t="s">
        <v>226</v>
      </c>
      <c r="D44" s="13"/>
      <c r="E44" s="16"/>
      <c r="F44" s="16"/>
      <c r="G44" s="13"/>
      <c r="H44" s="13"/>
      <c r="I44" s="16"/>
      <c r="J44" s="13"/>
      <c r="K44" s="13"/>
      <c r="L44" s="16"/>
      <c r="M44" s="61"/>
      <c r="N44" s="22"/>
      <c r="O44" s="13"/>
      <c r="P44" s="13"/>
      <c r="Q44" s="13"/>
      <c r="R44" s="13"/>
      <c r="S44" s="16"/>
      <c r="T44" s="25"/>
    </row>
    <row r="45" spans="1:20" s="104" customFormat="1" ht="21.75" customHeight="1">
      <c r="A45" s="11"/>
      <c r="B45" s="20"/>
      <c r="C45" s="69" t="s">
        <v>173</v>
      </c>
      <c r="D45" s="13"/>
      <c r="E45" s="16"/>
      <c r="F45" s="16"/>
      <c r="G45" s="13"/>
      <c r="H45" s="13"/>
      <c r="I45" s="16"/>
      <c r="J45" s="18"/>
      <c r="K45" s="67"/>
      <c r="L45" s="16"/>
      <c r="M45" s="13"/>
      <c r="N45" s="11"/>
      <c r="O45" s="11"/>
      <c r="P45" s="11"/>
      <c r="Q45" s="66"/>
      <c r="R45" s="67"/>
      <c r="S45" s="57"/>
      <c r="T45" s="57"/>
    </row>
    <row r="46" spans="1:20" s="60" customFormat="1" ht="60.75" customHeight="1">
      <c r="A46" s="13">
        <v>1</v>
      </c>
      <c r="B46" s="20" t="s">
        <v>189</v>
      </c>
      <c r="C46" s="61" t="s">
        <v>192</v>
      </c>
      <c r="D46" s="13" t="s">
        <v>23</v>
      </c>
      <c r="E46" s="111">
        <v>16</v>
      </c>
      <c r="F46" s="16">
        <f>I46+L46</f>
        <v>0.6268342587</v>
      </c>
      <c r="G46" s="22">
        <v>0.0106</v>
      </c>
      <c r="H46" s="13">
        <f aca="true" t="shared" si="6" ref="H46:H51">H$5</f>
        <v>1.98367</v>
      </c>
      <c r="I46" s="16">
        <f aca="true" t="shared" si="7" ref="I46:I56">G46*H46</f>
        <v>0.021026902</v>
      </c>
      <c r="J46" s="22">
        <f>172.87/1000</f>
        <v>0.17287</v>
      </c>
      <c r="K46" s="112">
        <f aca="true" t="shared" si="8" ref="K46:K51">K$5</f>
        <v>3.50441</v>
      </c>
      <c r="L46" s="16">
        <f aca="true" t="shared" si="9" ref="L46:L56">J46*K46</f>
        <v>0.6058073567</v>
      </c>
      <c r="M46" s="13"/>
      <c r="N46" s="13"/>
      <c r="O46" s="13"/>
      <c r="P46" s="13"/>
      <c r="Q46" s="13"/>
      <c r="R46" s="113">
        <f aca="true" t="shared" si="10" ref="R46:R51">R$5</f>
        <v>1.209159</v>
      </c>
      <c r="S46" s="16">
        <f aca="true" t="shared" si="11" ref="S46:S52">P46*Q46*R46</f>
        <v>0</v>
      </c>
      <c r="T46" s="16">
        <f aca="true" t="shared" si="12" ref="T46:T56">E46*F46</f>
        <v>10.0293481392</v>
      </c>
    </row>
    <row r="47" spans="1:20" s="60" customFormat="1" ht="39" customHeight="1">
      <c r="A47" s="13">
        <v>2</v>
      </c>
      <c r="B47" s="20" t="s">
        <v>190</v>
      </c>
      <c r="C47" s="23" t="s">
        <v>191</v>
      </c>
      <c r="D47" s="13" t="s">
        <v>23</v>
      </c>
      <c r="E47" s="111">
        <v>1.6</v>
      </c>
      <c r="F47" s="16">
        <f aca="true" t="shared" si="13" ref="F47:F56">I47+L47+S47</f>
        <v>4.6179837599999995</v>
      </c>
      <c r="G47" s="13">
        <f>1.94*1.2</f>
        <v>2.328</v>
      </c>
      <c r="H47" s="13">
        <f t="shared" si="6"/>
        <v>1.98367</v>
      </c>
      <c r="I47" s="16">
        <f t="shared" si="7"/>
        <v>4.6179837599999995</v>
      </c>
      <c r="J47" s="22"/>
      <c r="K47" s="112">
        <f t="shared" si="8"/>
        <v>3.50441</v>
      </c>
      <c r="L47" s="16">
        <f t="shared" si="9"/>
        <v>0</v>
      </c>
      <c r="M47" s="23"/>
      <c r="N47" s="23"/>
      <c r="O47" s="13"/>
      <c r="P47" s="13"/>
      <c r="Q47" s="16"/>
      <c r="R47" s="113">
        <f t="shared" si="10"/>
        <v>1.209159</v>
      </c>
      <c r="S47" s="16">
        <f t="shared" si="11"/>
        <v>0</v>
      </c>
      <c r="T47" s="16">
        <f t="shared" si="12"/>
        <v>7.388774015999999</v>
      </c>
    </row>
    <row r="48" spans="1:23" s="60" customFormat="1" ht="63" customHeight="1">
      <c r="A48" s="14">
        <v>3</v>
      </c>
      <c r="B48" s="20" t="s">
        <v>174</v>
      </c>
      <c r="C48" s="61" t="s">
        <v>193</v>
      </c>
      <c r="D48" s="13" t="s">
        <v>194</v>
      </c>
      <c r="E48" s="111">
        <f>E50+E51</f>
        <v>5.5</v>
      </c>
      <c r="F48" s="16">
        <f t="shared" si="13"/>
        <v>1.0226164858</v>
      </c>
      <c r="G48" s="22">
        <f>13.3/1000</f>
        <v>0.013300000000000001</v>
      </c>
      <c r="H48" s="13">
        <f t="shared" si="6"/>
        <v>1.98367</v>
      </c>
      <c r="I48" s="16">
        <f t="shared" si="7"/>
        <v>0.026382811000000003</v>
      </c>
      <c r="J48" s="62">
        <v>0.28428</v>
      </c>
      <c r="K48" s="112">
        <f t="shared" si="8"/>
        <v>3.50441</v>
      </c>
      <c r="L48" s="57">
        <f t="shared" si="9"/>
        <v>0.9962336747999999</v>
      </c>
      <c r="M48" s="13"/>
      <c r="N48" s="13"/>
      <c r="O48" s="13"/>
      <c r="P48" s="16"/>
      <c r="Q48" s="13"/>
      <c r="R48" s="113">
        <f t="shared" si="10"/>
        <v>1.209159</v>
      </c>
      <c r="S48" s="57">
        <f t="shared" si="11"/>
        <v>0</v>
      </c>
      <c r="T48" s="16">
        <f t="shared" si="12"/>
        <v>5.6243906719</v>
      </c>
      <c r="U48" s="63"/>
      <c r="V48" s="63"/>
      <c r="W48" s="63"/>
    </row>
    <row r="49" spans="1:20" s="65" customFormat="1" ht="33.75" customHeight="1">
      <c r="A49" s="11">
        <v>4</v>
      </c>
      <c r="B49" s="11" t="s">
        <v>256</v>
      </c>
      <c r="C49" s="59" t="s">
        <v>255</v>
      </c>
      <c r="D49" s="11" t="s">
        <v>30</v>
      </c>
      <c r="E49" s="122">
        <f>5.5*1.75</f>
        <v>9.625</v>
      </c>
      <c r="F49" s="57">
        <f t="shared" si="13"/>
        <v>2.5231752</v>
      </c>
      <c r="G49" s="11"/>
      <c r="H49" s="13">
        <f t="shared" si="6"/>
        <v>1.98367</v>
      </c>
      <c r="I49" s="57">
        <f t="shared" si="7"/>
        <v>0</v>
      </c>
      <c r="J49" s="11">
        <v>0.72</v>
      </c>
      <c r="K49" s="67">
        <f t="shared" si="8"/>
        <v>3.50441</v>
      </c>
      <c r="L49" s="57">
        <f t="shared" si="9"/>
        <v>2.5231752</v>
      </c>
      <c r="M49" s="11"/>
      <c r="N49" s="11"/>
      <c r="O49" s="11"/>
      <c r="P49" s="57"/>
      <c r="Q49" s="11"/>
      <c r="R49" s="67">
        <f t="shared" si="10"/>
        <v>1.209159</v>
      </c>
      <c r="S49" s="57">
        <f t="shared" si="11"/>
        <v>0</v>
      </c>
      <c r="T49" s="57">
        <f t="shared" si="12"/>
        <v>24.285561299999998</v>
      </c>
    </row>
    <row r="50" spans="1:20" s="60" customFormat="1" ht="50.25" customHeight="1">
      <c r="A50" s="13">
        <v>5</v>
      </c>
      <c r="B50" s="20" t="s">
        <v>195</v>
      </c>
      <c r="C50" s="61" t="s">
        <v>196</v>
      </c>
      <c r="D50" s="13" t="s">
        <v>23</v>
      </c>
      <c r="E50" s="111">
        <v>2.2</v>
      </c>
      <c r="F50" s="16">
        <f t="shared" si="13"/>
        <v>7.085765900000001</v>
      </c>
      <c r="G50" s="13">
        <v>0.89</v>
      </c>
      <c r="H50" s="13">
        <f t="shared" si="6"/>
        <v>1.98367</v>
      </c>
      <c r="I50" s="16">
        <f t="shared" si="7"/>
        <v>1.7654663000000002</v>
      </c>
      <c r="J50" s="13"/>
      <c r="K50" s="13">
        <f t="shared" si="8"/>
        <v>3.50441</v>
      </c>
      <c r="L50" s="16">
        <f t="shared" si="9"/>
        <v>0</v>
      </c>
      <c r="M50" s="61" t="s">
        <v>149</v>
      </c>
      <c r="N50" s="21" t="s">
        <v>150</v>
      </c>
      <c r="O50" s="13" t="s">
        <v>23</v>
      </c>
      <c r="P50" s="16">
        <v>1.1</v>
      </c>
      <c r="Q50" s="19">
        <v>4</v>
      </c>
      <c r="R50" s="17">
        <f t="shared" si="10"/>
        <v>1.209159</v>
      </c>
      <c r="S50" s="16">
        <f t="shared" si="11"/>
        <v>5.320299600000001</v>
      </c>
      <c r="T50" s="16">
        <f t="shared" si="12"/>
        <v>15.588684980000004</v>
      </c>
    </row>
    <row r="51" spans="1:20" s="60" customFormat="1" ht="38.25" customHeight="1">
      <c r="A51" s="13">
        <v>6</v>
      </c>
      <c r="B51" s="20" t="s">
        <v>195</v>
      </c>
      <c r="C51" s="61" t="s">
        <v>197</v>
      </c>
      <c r="D51" s="13" t="s">
        <v>23</v>
      </c>
      <c r="E51" s="111">
        <v>3.3</v>
      </c>
      <c r="F51" s="16">
        <f t="shared" si="13"/>
        <v>7.085765900000001</v>
      </c>
      <c r="G51" s="13">
        <v>0.89</v>
      </c>
      <c r="H51" s="13">
        <f t="shared" si="6"/>
        <v>1.98367</v>
      </c>
      <c r="I51" s="16">
        <f t="shared" si="7"/>
        <v>1.7654663000000002</v>
      </c>
      <c r="J51" s="13"/>
      <c r="K51" s="13">
        <f t="shared" si="8"/>
        <v>3.50441</v>
      </c>
      <c r="L51" s="16">
        <f t="shared" si="9"/>
        <v>0</v>
      </c>
      <c r="M51" s="61" t="s">
        <v>149</v>
      </c>
      <c r="N51" s="21" t="s">
        <v>150</v>
      </c>
      <c r="O51" s="13" t="s">
        <v>23</v>
      </c>
      <c r="P51" s="16">
        <v>1.1</v>
      </c>
      <c r="Q51" s="19">
        <v>4</v>
      </c>
      <c r="R51" s="17">
        <f t="shared" si="10"/>
        <v>1.209159</v>
      </c>
      <c r="S51" s="16">
        <f t="shared" si="11"/>
        <v>5.320299600000001</v>
      </c>
      <c r="T51" s="16">
        <f t="shared" si="12"/>
        <v>23.383027470000002</v>
      </c>
    </row>
    <row r="52" spans="1:20" s="60" customFormat="1" ht="31.5" customHeight="1">
      <c r="A52" s="13">
        <v>7</v>
      </c>
      <c r="B52" s="20" t="s">
        <v>147</v>
      </c>
      <c r="C52" s="61" t="s">
        <v>198</v>
      </c>
      <c r="D52" s="13" t="s">
        <v>23</v>
      </c>
      <c r="E52" s="111">
        <f>E46+E47-E48</f>
        <v>12.100000000000001</v>
      </c>
      <c r="F52" s="57">
        <f t="shared" si="13"/>
        <v>0.9124882000000001</v>
      </c>
      <c r="G52" s="13">
        <v>0.46</v>
      </c>
      <c r="H52" s="14">
        <f>H$6</f>
        <v>1.98367</v>
      </c>
      <c r="I52" s="16">
        <f t="shared" si="7"/>
        <v>0.9124882000000001</v>
      </c>
      <c r="J52" s="22"/>
      <c r="K52" s="14">
        <f>K$6</f>
        <v>3.50441</v>
      </c>
      <c r="L52" s="16">
        <f t="shared" si="9"/>
        <v>0</v>
      </c>
      <c r="M52" s="61"/>
      <c r="N52" s="13"/>
      <c r="O52" s="13"/>
      <c r="P52" s="70"/>
      <c r="Q52" s="19"/>
      <c r="R52" s="73">
        <f>R$6</f>
        <v>1.209159</v>
      </c>
      <c r="S52" s="16">
        <f t="shared" si="11"/>
        <v>0</v>
      </c>
      <c r="T52" s="16">
        <f t="shared" si="12"/>
        <v>11.041107220000002</v>
      </c>
    </row>
    <row r="53" spans="1:168" s="60" customFormat="1" ht="51" customHeight="1">
      <c r="A53" s="14">
        <v>8</v>
      </c>
      <c r="B53" s="20" t="s">
        <v>151</v>
      </c>
      <c r="C53" s="61" t="s">
        <v>237</v>
      </c>
      <c r="D53" s="13" t="s">
        <v>32</v>
      </c>
      <c r="E53" s="111">
        <v>50</v>
      </c>
      <c r="F53" s="16">
        <f t="shared" si="13"/>
        <v>2.8733768470000003</v>
      </c>
      <c r="G53" s="16">
        <v>0.06</v>
      </c>
      <c r="H53" s="13">
        <f>H$5</f>
        <v>1.98367</v>
      </c>
      <c r="I53" s="16">
        <f t="shared" si="7"/>
        <v>0.11902019999999999</v>
      </c>
      <c r="J53" s="16">
        <v>0.05</v>
      </c>
      <c r="K53" s="67">
        <f t="shared" si="0"/>
        <v>3.50441</v>
      </c>
      <c r="L53" s="16">
        <f t="shared" si="9"/>
        <v>0.1752205</v>
      </c>
      <c r="M53" s="61" t="s">
        <v>17</v>
      </c>
      <c r="N53" s="13" t="s">
        <v>240</v>
      </c>
      <c r="O53" s="13" t="s">
        <v>32</v>
      </c>
      <c r="P53" s="19">
        <v>1</v>
      </c>
      <c r="Q53" s="108">
        <v>2.133</v>
      </c>
      <c r="R53" s="67">
        <f t="shared" si="1"/>
        <v>1.209159</v>
      </c>
      <c r="S53" s="57">
        <f>P53*Q53*R53</f>
        <v>2.5791361470000003</v>
      </c>
      <c r="T53" s="57">
        <f t="shared" si="12"/>
        <v>143.66884235</v>
      </c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</row>
    <row r="54" spans="1:168" s="60" customFormat="1" ht="51" customHeight="1">
      <c r="A54" s="14">
        <v>9</v>
      </c>
      <c r="B54" s="20" t="s">
        <v>200</v>
      </c>
      <c r="C54" s="61" t="s">
        <v>238</v>
      </c>
      <c r="D54" s="13" t="s">
        <v>32</v>
      </c>
      <c r="E54" s="111">
        <v>5</v>
      </c>
      <c r="F54" s="16">
        <f t="shared" si="13"/>
        <v>6.793470325000001</v>
      </c>
      <c r="G54" s="16">
        <v>0.06</v>
      </c>
      <c r="H54" s="13">
        <f>H$5</f>
        <v>1.98367</v>
      </c>
      <c r="I54" s="16">
        <f t="shared" si="7"/>
        <v>0.11902019999999999</v>
      </c>
      <c r="J54" s="16">
        <v>0.05</v>
      </c>
      <c r="K54" s="67">
        <f t="shared" si="0"/>
        <v>3.50441</v>
      </c>
      <c r="L54" s="16">
        <f t="shared" si="9"/>
        <v>0.1752205</v>
      </c>
      <c r="M54" s="61" t="s">
        <v>17</v>
      </c>
      <c r="N54" s="13" t="s">
        <v>241</v>
      </c>
      <c r="O54" s="13" t="s">
        <v>32</v>
      </c>
      <c r="P54" s="19">
        <v>1</v>
      </c>
      <c r="Q54" s="108">
        <v>5.375</v>
      </c>
      <c r="R54" s="67">
        <f t="shared" si="1"/>
        <v>1.209159</v>
      </c>
      <c r="S54" s="57">
        <f>P54*Q54*R54</f>
        <v>6.499229625000001</v>
      </c>
      <c r="T54" s="57">
        <f t="shared" si="12"/>
        <v>33.967351625000006</v>
      </c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</row>
    <row r="55" spans="1:168" s="60" customFormat="1" ht="50.25" customHeight="1">
      <c r="A55" s="14">
        <v>10</v>
      </c>
      <c r="B55" s="20" t="s">
        <v>152</v>
      </c>
      <c r="C55" s="61" t="s">
        <v>199</v>
      </c>
      <c r="D55" s="13" t="s">
        <v>153</v>
      </c>
      <c r="E55" s="120">
        <v>0.8</v>
      </c>
      <c r="F55" s="16">
        <f t="shared" si="13"/>
        <v>133.20515139600002</v>
      </c>
      <c r="G55" s="18">
        <v>6.24</v>
      </c>
      <c r="H55" s="13">
        <f>H$5</f>
        <v>1.98367</v>
      </c>
      <c r="I55" s="16">
        <f t="shared" si="7"/>
        <v>12.3781008</v>
      </c>
      <c r="J55" s="18">
        <v>0.27</v>
      </c>
      <c r="K55" s="67">
        <f t="shared" si="0"/>
        <v>3.50441</v>
      </c>
      <c r="L55" s="16">
        <f t="shared" si="9"/>
        <v>0.9461907</v>
      </c>
      <c r="M55" s="61" t="s">
        <v>154</v>
      </c>
      <c r="N55" s="13" t="s">
        <v>242</v>
      </c>
      <c r="O55" s="13" t="s">
        <v>32</v>
      </c>
      <c r="P55" s="19">
        <v>102</v>
      </c>
      <c r="Q55" s="108">
        <v>0.972</v>
      </c>
      <c r="R55" s="67">
        <f t="shared" si="1"/>
        <v>1.209159</v>
      </c>
      <c r="S55" s="57">
        <f>P55*Q55*R55</f>
        <v>119.880859896</v>
      </c>
      <c r="T55" s="57">
        <f t="shared" si="12"/>
        <v>106.56412111680002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</row>
    <row r="56" spans="1:168" s="60" customFormat="1" ht="50.25" customHeight="1">
      <c r="A56" s="14">
        <v>11</v>
      </c>
      <c r="B56" s="20" t="s">
        <v>152</v>
      </c>
      <c r="C56" s="61" t="s">
        <v>201</v>
      </c>
      <c r="D56" s="13" t="s">
        <v>153</v>
      </c>
      <c r="E56" s="120">
        <v>0.08</v>
      </c>
      <c r="F56" s="16">
        <f t="shared" si="13"/>
        <v>304.29026746500006</v>
      </c>
      <c r="G56" s="18">
        <v>6.24</v>
      </c>
      <c r="H56" s="13">
        <f>H$5</f>
        <v>1.98367</v>
      </c>
      <c r="I56" s="16">
        <f t="shared" si="7"/>
        <v>12.3781008</v>
      </c>
      <c r="J56" s="18">
        <v>0.27</v>
      </c>
      <c r="K56" s="67">
        <f t="shared" si="0"/>
        <v>3.50441</v>
      </c>
      <c r="L56" s="16">
        <f t="shared" si="9"/>
        <v>0.9461907</v>
      </c>
      <c r="M56" s="61" t="s">
        <v>154</v>
      </c>
      <c r="N56" s="13" t="s">
        <v>243</v>
      </c>
      <c r="O56" s="13" t="s">
        <v>32</v>
      </c>
      <c r="P56" s="19">
        <v>102</v>
      </c>
      <c r="Q56" s="108">
        <f>2.831/1.2</f>
        <v>2.359166666666667</v>
      </c>
      <c r="R56" s="67">
        <f t="shared" si="1"/>
        <v>1.209159</v>
      </c>
      <c r="S56" s="57">
        <f>P56*Q56*R56</f>
        <v>290.96597596500004</v>
      </c>
      <c r="T56" s="57">
        <f t="shared" si="12"/>
        <v>24.343221397200004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</row>
    <row r="57" spans="1:23" s="107" customFormat="1" ht="15" customHeight="1">
      <c r="A57" s="15"/>
      <c r="B57" s="105"/>
      <c r="C57" s="69" t="s">
        <v>44</v>
      </c>
      <c r="D57" s="15"/>
      <c r="E57" s="15"/>
      <c r="F57" s="15"/>
      <c r="G57" s="15"/>
      <c r="H57" s="15"/>
      <c r="I57" s="16"/>
      <c r="J57" s="15"/>
      <c r="K57" s="15"/>
      <c r="L57" s="25"/>
      <c r="M57" s="15"/>
      <c r="N57" s="15"/>
      <c r="O57" s="15"/>
      <c r="P57" s="15"/>
      <c r="Q57" s="15"/>
      <c r="R57" s="15"/>
      <c r="S57" s="57">
        <f>P57*Q57*R57</f>
        <v>0</v>
      </c>
      <c r="T57" s="25">
        <f>SUM(T46:T56)</f>
        <v>405.88443028610004</v>
      </c>
      <c r="U57" s="106"/>
      <c r="V57" s="106"/>
      <c r="W57" s="106"/>
    </row>
    <row r="58" spans="1:20" s="60" customFormat="1" ht="35.25" customHeight="1">
      <c r="A58" s="14"/>
      <c r="B58" s="20"/>
      <c r="C58" s="15" t="s">
        <v>207</v>
      </c>
      <c r="D58" s="13"/>
      <c r="E58" s="16"/>
      <c r="F58" s="16"/>
      <c r="G58" s="16"/>
      <c r="H58" s="13">
        <f aca="true" t="shared" si="14" ref="H58:H82">H$5</f>
        <v>1.98367</v>
      </c>
      <c r="I58" s="16"/>
      <c r="J58" s="16"/>
      <c r="K58" s="67">
        <f aca="true" t="shared" si="15" ref="K58:K82">K$5</f>
        <v>3.50441</v>
      </c>
      <c r="L58" s="16"/>
      <c r="M58" s="13"/>
      <c r="N58" s="13"/>
      <c r="O58" s="13"/>
      <c r="P58" s="22"/>
      <c r="Q58" s="13"/>
      <c r="R58" s="67">
        <f aca="true" t="shared" si="16" ref="R58:R82">R$5</f>
        <v>1.209159</v>
      </c>
      <c r="S58" s="57">
        <f aca="true" t="shared" si="17" ref="S58:S83">P58*Q58*R58</f>
        <v>0</v>
      </c>
      <c r="T58" s="68"/>
    </row>
    <row r="59" spans="1:168" s="60" customFormat="1" ht="61.5" customHeight="1">
      <c r="A59" s="14">
        <v>1</v>
      </c>
      <c r="B59" s="20" t="s">
        <v>168</v>
      </c>
      <c r="C59" s="61" t="s">
        <v>167</v>
      </c>
      <c r="D59" s="13" t="s">
        <v>23</v>
      </c>
      <c r="E59" s="111">
        <f>0.2*5</f>
        <v>1</v>
      </c>
      <c r="F59" s="16">
        <f aca="true" t="shared" si="18" ref="F59:F80">I59+L59+S59</f>
        <v>7.544</v>
      </c>
      <c r="G59" s="16">
        <v>2.05</v>
      </c>
      <c r="H59" s="13">
        <v>3.68</v>
      </c>
      <c r="I59" s="16">
        <f aca="true" t="shared" si="19" ref="I59:I69">G59*H59</f>
        <v>7.544</v>
      </c>
      <c r="J59" s="17"/>
      <c r="K59" s="67">
        <f t="shared" si="15"/>
        <v>3.50441</v>
      </c>
      <c r="L59" s="16">
        <f aca="true" t="shared" si="20" ref="L59:L73">J59*K59</f>
        <v>0</v>
      </c>
      <c r="M59" s="13"/>
      <c r="N59" s="13"/>
      <c r="O59" s="13"/>
      <c r="P59" s="16"/>
      <c r="Q59" s="13"/>
      <c r="R59" s="67">
        <f t="shared" si="16"/>
        <v>1.209159</v>
      </c>
      <c r="S59" s="57">
        <f t="shared" si="17"/>
        <v>0</v>
      </c>
      <c r="T59" s="57">
        <f aca="true" t="shared" si="21" ref="T59:T74">E59*F59</f>
        <v>7.544</v>
      </c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</row>
    <row r="60" spans="1:20" s="60" customFormat="1" ht="40.5" customHeight="1">
      <c r="A60" s="14">
        <v>2</v>
      </c>
      <c r="B60" s="20" t="s">
        <v>155</v>
      </c>
      <c r="C60" s="61" t="s">
        <v>169</v>
      </c>
      <c r="D60" s="13" t="s">
        <v>23</v>
      </c>
      <c r="E60" s="120">
        <f>0.15*5</f>
        <v>0.75</v>
      </c>
      <c r="F60" s="16">
        <f t="shared" si="18"/>
        <v>37.00575224094</v>
      </c>
      <c r="G60" s="72">
        <v>0.7</v>
      </c>
      <c r="H60" s="13">
        <f t="shared" si="14"/>
        <v>1.98367</v>
      </c>
      <c r="I60" s="16">
        <f t="shared" si="19"/>
        <v>1.388569</v>
      </c>
      <c r="J60" s="72">
        <v>0.28</v>
      </c>
      <c r="K60" s="67">
        <f t="shared" si="15"/>
        <v>3.50441</v>
      </c>
      <c r="L60" s="16">
        <f t="shared" si="20"/>
        <v>0.9812348000000001</v>
      </c>
      <c r="M60" s="61" t="s">
        <v>244</v>
      </c>
      <c r="N60" s="13" t="s">
        <v>146</v>
      </c>
      <c r="O60" s="13" t="s">
        <v>23</v>
      </c>
      <c r="P60" s="16">
        <v>1.02</v>
      </c>
      <c r="Q60" s="108">
        <v>28.083</v>
      </c>
      <c r="R60" s="67">
        <f t="shared" si="16"/>
        <v>1.209159</v>
      </c>
      <c r="S60" s="57">
        <f t="shared" si="17"/>
        <v>34.63594844094</v>
      </c>
      <c r="T60" s="57">
        <f t="shared" si="21"/>
        <v>27.754314180705</v>
      </c>
    </row>
    <row r="61" spans="1:168" s="60" customFormat="1" ht="22.5" customHeight="1">
      <c r="A61" s="14">
        <v>3</v>
      </c>
      <c r="B61" s="20" t="s">
        <v>29</v>
      </c>
      <c r="C61" s="61" t="s">
        <v>202</v>
      </c>
      <c r="D61" s="13" t="s">
        <v>31</v>
      </c>
      <c r="E61" s="115">
        <f>0.15*0.15*5</f>
        <v>0.11249999999999999</v>
      </c>
      <c r="F61" s="16">
        <f t="shared" si="18"/>
        <v>48.602146005</v>
      </c>
      <c r="G61" s="16"/>
      <c r="H61" s="13">
        <f t="shared" si="14"/>
        <v>1.98367</v>
      </c>
      <c r="I61" s="16">
        <f t="shared" si="19"/>
        <v>0</v>
      </c>
      <c r="J61" s="17"/>
      <c r="K61" s="67">
        <f t="shared" si="15"/>
        <v>3.50441</v>
      </c>
      <c r="L61" s="16">
        <f t="shared" si="20"/>
        <v>0</v>
      </c>
      <c r="M61" s="61" t="s">
        <v>69</v>
      </c>
      <c r="N61" s="13" t="s">
        <v>245</v>
      </c>
      <c r="O61" s="13" t="s">
        <v>31</v>
      </c>
      <c r="P61" s="19">
        <v>1</v>
      </c>
      <c r="Q61" s="121">
        <v>40.195</v>
      </c>
      <c r="R61" s="67">
        <f t="shared" si="16"/>
        <v>1.209159</v>
      </c>
      <c r="S61" s="57">
        <f>P61*Q61*R61</f>
        <v>48.602146005</v>
      </c>
      <c r="T61" s="57">
        <f t="shared" si="21"/>
        <v>5.467741425562499</v>
      </c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</row>
    <row r="62" spans="1:168" s="60" customFormat="1" ht="49.5" customHeight="1">
      <c r="A62" s="14">
        <v>4</v>
      </c>
      <c r="B62" s="20" t="s">
        <v>156</v>
      </c>
      <c r="C62" s="61" t="s">
        <v>203</v>
      </c>
      <c r="D62" s="13" t="s">
        <v>30</v>
      </c>
      <c r="E62" s="115">
        <f>5*1.5*12.73/1000</f>
        <v>0.095475</v>
      </c>
      <c r="F62" s="16">
        <f t="shared" si="18"/>
        <v>107.7195184</v>
      </c>
      <c r="G62" s="16">
        <v>13.6</v>
      </c>
      <c r="H62" s="13">
        <f t="shared" si="14"/>
        <v>1.98367</v>
      </c>
      <c r="I62" s="16">
        <f t="shared" si="19"/>
        <v>26.977912</v>
      </c>
      <c r="J62" s="16">
        <v>23.04</v>
      </c>
      <c r="K62" s="67">
        <f t="shared" si="15"/>
        <v>3.50441</v>
      </c>
      <c r="L62" s="16">
        <f t="shared" si="20"/>
        <v>80.7416064</v>
      </c>
      <c r="M62" s="13"/>
      <c r="N62" s="13"/>
      <c r="O62" s="13"/>
      <c r="P62" s="16"/>
      <c r="Q62" s="13"/>
      <c r="R62" s="67">
        <f t="shared" si="16"/>
        <v>1.209159</v>
      </c>
      <c r="S62" s="57">
        <f>P62*Q62*R62</f>
        <v>0</v>
      </c>
      <c r="T62" s="57">
        <f t="shared" si="21"/>
        <v>10.28452101924</v>
      </c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</row>
    <row r="63" spans="1:168" s="60" customFormat="1" ht="24.75" customHeight="1">
      <c r="A63" s="14">
        <v>5</v>
      </c>
      <c r="B63" s="20" t="s">
        <v>29</v>
      </c>
      <c r="C63" s="61" t="s">
        <v>205</v>
      </c>
      <c r="D63" s="13" t="s">
        <v>32</v>
      </c>
      <c r="E63" s="111">
        <f>1.5*5</f>
        <v>7.5</v>
      </c>
      <c r="F63" s="16">
        <f t="shared" si="18"/>
        <v>8.836533972</v>
      </c>
      <c r="G63" s="16"/>
      <c r="H63" s="13">
        <f t="shared" si="14"/>
        <v>1.98367</v>
      </c>
      <c r="I63" s="16">
        <f t="shared" si="19"/>
        <v>0</v>
      </c>
      <c r="J63" s="16"/>
      <c r="K63" s="67">
        <f t="shared" si="15"/>
        <v>3.50441</v>
      </c>
      <c r="L63" s="16">
        <f t="shared" si="20"/>
        <v>0</v>
      </c>
      <c r="M63" s="61" t="s">
        <v>17</v>
      </c>
      <c r="N63" s="13" t="s">
        <v>246</v>
      </c>
      <c r="O63" s="13" t="s">
        <v>32</v>
      </c>
      <c r="P63" s="19">
        <v>1</v>
      </c>
      <c r="Q63" s="108">
        <v>7.308</v>
      </c>
      <c r="R63" s="67">
        <f t="shared" si="16"/>
        <v>1.209159</v>
      </c>
      <c r="S63" s="57">
        <f>P63*Q63*R63</f>
        <v>8.836533972</v>
      </c>
      <c r="T63" s="57">
        <f t="shared" si="21"/>
        <v>66.27400478999999</v>
      </c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</row>
    <row r="64" spans="1:168" s="60" customFormat="1" ht="51" customHeight="1">
      <c r="A64" s="14">
        <v>6</v>
      </c>
      <c r="B64" s="20" t="s">
        <v>151</v>
      </c>
      <c r="C64" s="61" t="s">
        <v>259</v>
      </c>
      <c r="D64" s="13" t="s">
        <v>32</v>
      </c>
      <c r="E64" s="19">
        <v>25</v>
      </c>
      <c r="F64" s="16">
        <f t="shared" si="18"/>
        <v>1.675100278</v>
      </c>
      <c r="G64" s="16">
        <v>0.06</v>
      </c>
      <c r="H64" s="13">
        <f t="shared" si="14"/>
        <v>1.98367</v>
      </c>
      <c r="I64" s="16">
        <f t="shared" si="19"/>
        <v>0.11902019999999999</v>
      </c>
      <c r="J64" s="16">
        <v>0.05</v>
      </c>
      <c r="K64" s="67">
        <f t="shared" si="15"/>
        <v>3.50441</v>
      </c>
      <c r="L64" s="16">
        <f t="shared" si="20"/>
        <v>0.1752205</v>
      </c>
      <c r="M64" s="61" t="s">
        <v>17</v>
      </c>
      <c r="N64" s="13" t="s">
        <v>239</v>
      </c>
      <c r="O64" s="13" t="s">
        <v>32</v>
      </c>
      <c r="P64" s="19">
        <v>1</v>
      </c>
      <c r="Q64" s="108">
        <v>1.142</v>
      </c>
      <c r="R64" s="67">
        <f t="shared" si="16"/>
        <v>1.209159</v>
      </c>
      <c r="S64" s="57">
        <f>P64*Q64*R64</f>
        <v>1.380859578</v>
      </c>
      <c r="T64" s="57">
        <f t="shared" si="21"/>
        <v>41.87750695</v>
      </c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</row>
    <row r="65" spans="1:168" s="60" customFormat="1" ht="34.5" customHeight="1">
      <c r="A65" s="14">
        <v>7</v>
      </c>
      <c r="B65" s="20" t="s">
        <v>156</v>
      </c>
      <c r="C65" s="61" t="s">
        <v>204</v>
      </c>
      <c r="D65" s="13" t="s">
        <v>30</v>
      </c>
      <c r="E65" s="121">
        <f>E66*10.26/1000</f>
        <v>0.3078</v>
      </c>
      <c r="F65" s="16">
        <f t="shared" si="18"/>
        <v>107.7195184</v>
      </c>
      <c r="G65" s="16">
        <v>13.6</v>
      </c>
      <c r="H65" s="13">
        <f t="shared" si="14"/>
        <v>1.98367</v>
      </c>
      <c r="I65" s="16">
        <f t="shared" si="19"/>
        <v>26.977912</v>
      </c>
      <c r="J65" s="16">
        <v>23.04</v>
      </c>
      <c r="K65" s="67">
        <f t="shared" si="15"/>
        <v>3.50441</v>
      </c>
      <c r="L65" s="16">
        <f t="shared" si="20"/>
        <v>80.7416064</v>
      </c>
      <c r="M65" s="61"/>
      <c r="N65" s="13"/>
      <c r="O65" s="13"/>
      <c r="P65" s="16"/>
      <c r="Q65" s="13"/>
      <c r="R65" s="67">
        <f t="shared" si="16"/>
        <v>1.209159</v>
      </c>
      <c r="S65" s="57">
        <f t="shared" si="17"/>
        <v>0</v>
      </c>
      <c r="T65" s="57">
        <f t="shared" si="21"/>
        <v>33.15606776352</v>
      </c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</row>
    <row r="66" spans="1:168" s="60" customFormat="1" ht="24.75" customHeight="1">
      <c r="A66" s="14">
        <v>8</v>
      </c>
      <c r="B66" s="20" t="s">
        <v>29</v>
      </c>
      <c r="C66" s="61" t="s">
        <v>170</v>
      </c>
      <c r="D66" s="13" t="s">
        <v>32</v>
      </c>
      <c r="E66" s="120">
        <f>(1.5+4.5)*5</f>
        <v>30</v>
      </c>
      <c r="F66" s="16">
        <f t="shared" si="18"/>
        <v>6.875278074000001</v>
      </c>
      <c r="G66" s="16"/>
      <c r="H66" s="13">
        <f t="shared" si="14"/>
        <v>1.98367</v>
      </c>
      <c r="I66" s="16">
        <f t="shared" si="19"/>
        <v>0</v>
      </c>
      <c r="J66" s="16"/>
      <c r="K66" s="67">
        <f t="shared" si="15"/>
        <v>3.50441</v>
      </c>
      <c r="L66" s="16">
        <f t="shared" si="20"/>
        <v>0</v>
      </c>
      <c r="M66" s="61" t="s">
        <v>17</v>
      </c>
      <c r="N66" s="13" t="s">
        <v>247</v>
      </c>
      <c r="O66" s="13" t="s">
        <v>32</v>
      </c>
      <c r="P66" s="19">
        <v>1</v>
      </c>
      <c r="Q66" s="108">
        <v>5.686</v>
      </c>
      <c r="R66" s="67">
        <f t="shared" si="16"/>
        <v>1.209159</v>
      </c>
      <c r="S66" s="57">
        <f t="shared" si="17"/>
        <v>6.875278074000001</v>
      </c>
      <c r="T66" s="57">
        <f t="shared" si="21"/>
        <v>206.25834222000003</v>
      </c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</row>
    <row r="67" spans="1:168" s="60" customFormat="1" ht="51" customHeight="1">
      <c r="A67" s="14">
        <v>9</v>
      </c>
      <c r="B67" s="20" t="s">
        <v>151</v>
      </c>
      <c r="C67" s="61" t="s">
        <v>258</v>
      </c>
      <c r="D67" s="13" t="s">
        <v>32</v>
      </c>
      <c r="E67" s="111">
        <f>1.5*2*5</f>
        <v>15</v>
      </c>
      <c r="F67" s="16">
        <f t="shared" si="18"/>
        <v>1.675100278</v>
      </c>
      <c r="G67" s="16">
        <v>0.06</v>
      </c>
      <c r="H67" s="13">
        <f t="shared" si="14"/>
        <v>1.98367</v>
      </c>
      <c r="I67" s="16">
        <f t="shared" si="19"/>
        <v>0.11902019999999999</v>
      </c>
      <c r="J67" s="16">
        <v>0.05</v>
      </c>
      <c r="K67" s="67">
        <f t="shared" si="15"/>
        <v>3.50441</v>
      </c>
      <c r="L67" s="16">
        <f t="shared" si="20"/>
        <v>0.1752205</v>
      </c>
      <c r="M67" s="61" t="s">
        <v>17</v>
      </c>
      <c r="N67" s="13" t="s">
        <v>239</v>
      </c>
      <c r="O67" s="13" t="s">
        <v>32</v>
      </c>
      <c r="P67" s="19">
        <v>1</v>
      </c>
      <c r="Q67" s="108">
        <v>1.142</v>
      </c>
      <c r="R67" s="67">
        <f t="shared" si="16"/>
        <v>1.209159</v>
      </c>
      <c r="S67" s="57">
        <f t="shared" si="17"/>
        <v>1.380859578</v>
      </c>
      <c r="T67" s="57">
        <f t="shared" si="21"/>
        <v>25.12650417</v>
      </c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</row>
    <row r="68" spans="1:168" s="60" customFormat="1" ht="49.5" customHeight="1">
      <c r="A68" s="14">
        <v>10</v>
      </c>
      <c r="B68" s="20" t="s">
        <v>157</v>
      </c>
      <c r="C68" s="61" t="s">
        <v>206</v>
      </c>
      <c r="D68" s="13" t="s">
        <v>30</v>
      </c>
      <c r="E68" s="18">
        <f>E69*4.62/1000</f>
        <v>0.0693</v>
      </c>
      <c r="F68" s="16">
        <f t="shared" si="18"/>
        <v>70.74046253</v>
      </c>
      <c r="G68" s="19">
        <v>24.9</v>
      </c>
      <c r="H68" s="13">
        <f t="shared" si="14"/>
        <v>1.98367</v>
      </c>
      <c r="I68" s="57">
        <f t="shared" si="19"/>
        <v>49.393383</v>
      </c>
      <c r="J68" s="19">
        <v>3.1</v>
      </c>
      <c r="K68" s="67">
        <f t="shared" si="15"/>
        <v>3.50441</v>
      </c>
      <c r="L68" s="16">
        <f t="shared" si="20"/>
        <v>10.863671</v>
      </c>
      <c r="M68" s="61" t="s">
        <v>28</v>
      </c>
      <c r="N68" s="11" t="s">
        <v>249</v>
      </c>
      <c r="O68" s="13" t="s">
        <v>22</v>
      </c>
      <c r="P68" s="19">
        <v>10</v>
      </c>
      <c r="Q68" s="108">
        <v>0.867</v>
      </c>
      <c r="R68" s="67">
        <f t="shared" si="16"/>
        <v>1.209159</v>
      </c>
      <c r="S68" s="57">
        <f t="shared" si="17"/>
        <v>10.48340853</v>
      </c>
      <c r="T68" s="57">
        <f t="shared" si="21"/>
        <v>4.902314053329</v>
      </c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</row>
    <row r="69" spans="1:168" s="60" customFormat="1" ht="24" customHeight="1">
      <c r="A69" s="14">
        <v>11</v>
      </c>
      <c r="B69" s="20" t="s">
        <v>29</v>
      </c>
      <c r="C69" s="61" t="s">
        <v>257</v>
      </c>
      <c r="D69" s="13" t="s">
        <v>32</v>
      </c>
      <c r="E69" s="16">
        <f>1.5*10</f>
        <v>15</v>
      </c>
      <c r="F69" s="16">
        <f t="shared" si="18"/>
        <v>3.169205739</v>
      </c>
      <c r="G69" s="18"/>
      <c r="H69" s="13">
        <f t="shared" si="14"/>
        <v>1.98367</v>
      </c>
      <c r="I69" s="16">
        <f t="shared" si="19"/>
        <v>0</v>
      </c>
      <c r="J69" s="18"/>
      <c r="K69" s="67">
        <f t="shared" si="15"/>
        <v>3.50441</v>
      </c>
      <c r="L69" s="16">
        <f t="shared" si="20"/>
        <v>0</v>
      </c>
      <c r="M69" s="61" t="s">
        <v>148</v>
      </c>
      <c r="N69" s="13" t="s">
        <v>248</v>
      </c>
      <c r="O69" s="13" t="s">
        <v>32</v>
      </c>
      <c r="P69" s="19">
        <v>1</v>
      </c>
      <c r="Q69" s="108">
        <v>2.621</v>
      </c>
      <c r="R69" s="67">
        <f t="shared" si="16"/>
        <v>1.209159</v>
      </c>
      <c r="S69" s="57">
        <f t="shared" si="17"/>
        <v>3.169205739</v>
      </c>
      <c r="T69" s="57">
        <f t="shared" si="21"/>
        <v>47.538086085</v>
      </c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</row>
    <row r="70" spans="1:168" s="60" customFormat="1" ht="24" customHeight="1">
      <c r="A70" s="14">
        <v>12</v>
      </c>
      <c r="B70" s="20" t="s">
        <v>90</v>
      </c>
      <c r="C70" s="61" t="s">
        <v>214</v>
      </c>
      <c r="D70" s="13" t="s">
        <v>33</v>
      </c>
      <c r="E70" s="19">
        <v>15</v>
      </c>
      <c r="F70" s="16">
        <f t="shared" si="18"/>
        <v>0.14509908000000002</v>
      </c>
      <c r="G70" s="18"/>
      <c r="H70" s="13">
        <f t="shared" si="14"/>
        <v>1.98367</v>
      </c>
      <c r="I70" s="16">
        <f>G70*H70</f>
        <v>0</v>
      </c>
      <c r="J70" s="18"/>
      <c r="K70" s="67">
        <f t="shared" si="15"/>
        <v>3.50441</v>
      </c>
      <c r="L70" s="16">
        <f t="shared" si="20"/>
        <v>0</v>
      </c>
      <c r="M70" s="61" t="s">
        <v>215</v>
      </c>
      <c r="N70" s="14" t="s">
        <v>219</v>
      </c>
      <c r="O70" s="13" t="s">
        <v>33</v>
      </c>
      <c r="P70" s="19">
        <v>1</v>
      </c>
      <c r="Q70" s="108">
        <v>0.12</v>
      </c>
      <c r="R70" s="67">
        <f t="shared" si="16"/>
        <v>1.209159</v>
      </c>
      <c r="S70" s="57">
        <f>P70*Q70*R70</f>
        <v>0.14509908000000002</v>
      </c>
      <c r="T70" s="57">
        <f t="shared" si="21"/>
        <v>2.1764862000000003</v>
      </c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</row>
    <row r="71" spans="1:168" s="60" customFormat="1" ht="24" customHeight="1">
      <c r="A71" s="14">
        <v>13</v>
      </c>
      <c r="B71" s="20" t="s">
        <v>90</v>
      </c>
      <c r="C71" s="61" t="s">
        <v>216</v>
      </c>
      <c r="D71" s="13" t="s">
        <v>33</v>
      </c>
      <c r="E71" s="19">
        <v>15</v>
      </c>
      <c r="F71" s="16">
        <f t="shared" si="18"/>
        <v>0.09673272000000001</v>
      </c>
      <c r="G71" s="18"/>
      <c r="H71" s="13">
        <f t="shared" si="14"/>
        <v>1.98367</v>
      </c>
      <c r="I71" s="16">
        <f>G71*H71</f>
        <v>0</v>
      </c>
      <c r="J71" s="18"/>
      <c r="K71" s="67">
        <f t="shared" si="15"/>
        <v>3.50441</v>
      </c>
      <c r="L71" s="16">
        <f t="shared" si="20"/>
        <v>0</v>
      </c>
      <c r="M71" s="61" t="s">
        <v>215</v>
      </c>
      <c r="N71" s="14" t="s">
        <v>219</v>
      </c>
      <c r="O71" s="13" t="s">
        <v>33</v>
      </c>
      <c r="P71" s="19">
        <v>1</v>
      </c>
      <c r="Q71" s="108">
        <v>0.08</v>
      </c>
      <c r="R71" s="67">
        <f t="shared" si="16"/>
        <v>1.209159</v>
      </c>
      <c r="S71" s="57">
        <f>P71*Q71*R71</f>
        <v>0.09673272000000001</v>
      </c>
      <c r="T71" s="57">
        <f t="shared" si="21"/>
        <v>1.4509908</v>
      </c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</row>
    <row r="72" spans="1:168" s="60" customFormat="1" ht="24" customHeight="1">
      <c r="A72" s="14">
        <v>14</v>
      </c>
      <c r="B72" s="20" t="s">
        <v>90</v>
      </c>
      <c r="C72" s="61" t="s">
        <v>217</v>
      </c>
      <c r="D72" s="13" t="s">
        <v>33</v>
      </c>
      <c r="E72" s="19">
        <v>20</v>
      </c>
      <c r="F72" s="16">
        <f t="shared" si="18"/>
        <v>0.06045795000000001</v>
      </c>
      <c r="G72" s="18"/>
      <c r="H72" s="13">
        <f t="shared" si="14"/>
        <v>1.98367</v>
      </c>
      <c r="I72" s="16">
        <f>G72*H72</f>
        <v>0</v>
      </c>
      <c r="J72" s="18"/>
      <c r="K72" s="67">
        <f t="shared" si="15"/>
        <v>3.50441</v>
      </c>
      <c r="L72" s="16">
        <f t="shared" si="20"/>
        <v>0</v>
      </c>
      <c r="M72" s="61" t="s">
        <v>215</v>
      </c>
      <c r="N72" s="14" t="s">
        <v>219</v>
      </c>
      <c r="O72" s="13" t="s">
        <v>33</v>
      </c>
      <c r="P72" s="19">
        <v>1</v>
      </c>
      <c r="Q72" s="108">
        <v>0.05</v>
      </c>
      <c r="R72" s="67">
        <f t="shared" si="16"/>
        <v>1.209159</v>
      </c>
      <c r="S72" s="57">
        <f>P72*Q72*R72</f>
        <v>0.06045795000000001</v>
      </c>
      <c r="T72" s="57">
        <f t="shared" si="21"/>
        <v>1.209159</v>
      </c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</row>
    <row r="73" spans="1:168" s="60" customFormat="1" ht="24" customHeight="1">
      <c r="A73" s="14">
        <v>15</v>
      </c>
      <c r="B73" s="20" t="s">
        <v>90</v>
      </c>
      <c r="C73" s="61" t="s">
        <v>218</v>
      </c>
      <c r="D73" s="13" t="s">
        <v>33</v>
      </c>
      <c r="E73" s="19">
        <v>30</v>
      </c>
      <c r="F73" s="16">
        <f t="shared" si="18"/>
        <v>0.036274770000000005</v>
      </c>
      <c r="G73" s="18"/>
      <c r="H73" s="13">
        <f t="shared" si="14"/>
        <v>1.98367</v>
      </c>
      <c r="I73" s="16">
        <f>G73*H73</f>
        <v>0</v>
      </c>
      <c r="J73" s="18"/>
      <c r="K73" s="67">
        <f t="shared" si="15"/>
        <v>3.50441</v>
      </c>
      <c r="L73" s="16">
        <f t="shared" si="20"/>
        <v>0</v>
      </c>
      <c r="M73" s="61" t="s">
        <v>215</v>
      </c>
      <c r="N73" s="14" t="s">
        <v>219</v>
      </c>
      <c r="O73" s="13" t="s">
        <v>33</v>
      </c>
      <c r="P73" s="19">
        <v>1</v>
      </c>
      <c r="Q73" s="108">
        <v>0.03</v>
      </c>
      <c r="R73" s="67">
        <f t="shared" si="16"/>
        <v>1.209159</v>
      </c>
      <c r="S73" s="57">
        <f>P73*Q73*R73</f>
        <v>0.036274770000000005</v>
      </c>
      <c r="T73" s="57">
        <f t="shared" si="21"/>
        <v>1.0882431000000001</v>
      </c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</row>
    <row r="74" spans="1:20" s="60" customFormat="1" ht="29.25" customHeight="1">
      <c r="A74" s="13">
        <v>16</v>
      </c>
      <c r="B74" s="13" t="s">
        <v>68</v>
      </c>
      <c r="C74" s="23" t="s">
        <v>172</v>
      </c>
      <c r="D74" s="13" t="s">
        <v>33</v>
      </c>
      <c r="E74" s="111">
        <v>5</v>
      </c>
      <c r="F74" s="57">
        <f t="shared" si="18"/>
        <v>1.4509908</v>
      </c>
      <c r="G74" s="13"/>
      <c r="H74" s="112">
        <f>H$6</f>
        <v>1.98367</v>
      </c>
      <c r="I74" s="16"/>
      <c r="J74" s="13"/>
      <c r="K74" s="112">
        <f>K$6</f>
        <v>3.50441</v>
      </c>
      <c r="L74" s="16"/>
      <c r="M74" s="61" t="s">
        <v>81</v>
      </c>
      <c r="N74" s="14" t="s">
        <v>90</v>
      </c>
      <c r="O74" s="13" t="s">
        <v>33</v>
      </c>
      <c r="P74" s="19">
        <v>1</v>
      </c>
      <c r="Q74" s="16">
        <v>1.2</v>
      </c>
      <c r="R74" s="12">
        <f>R$5</f>
        <v>1.209159</v>
      </c>
      <c r="S74" s="57">
        <f>P74*Q74*R74</f>
        <v>1.4509908</v>
      </c>
      <c r="T74" s="57">
        <f t="shared" si="21"/>
        <v>7.254954</v>
      </c>
    </row>
    <row r="75" spans="1:20" s="60" customFormat="1" ht="30" customHeight="1">
      <c r="A75" s="13">
        <v>17</v>
      </c>
      <c r="B75" s="20" t="s">
        <v>91</v>
      </c>
      <c r="C75" s="61" t="s">
        <v>220</v>
      </c>
      <c r="D75" s="13" t="s">
        <v>33</v>
      </c>
      <c r="E75" s="111">
        <v>14</v>
      </c>
      <c r="F75" s="16">
        <f t="shared" si="18"/>
        <v>2.937927025</v>
      </c>
      <c r="G75" s="13">
        <v>0.9</v>
      </c>
      <c r="H75" s="14">
        <f>H$6</f>
        <v>1.98367</v>
      </c>
      <c r="I75" s="16">
        <f aca="true" t="shared" si="22" ref="I75:I81">G75*H75</f>
        <v>1.785303</v>
      </c>
      <c r="J75" s="13">
        <v>0.05</v>
      </c>
      <c r="K75" s="14">
        <f>K$6</f>
        <v>3.50441</v>
      </c>
      <c r="L75" s="16">
        <f aca="true" t="shared" si="23" ref="L75:L81">J75*K75</f>
        <v>0.1752205</v>
      </c>
      <c r="M75" s="61" t="s">
        <v>80</v>
      </c>
      <c r="N75" s="14" t="s">
        <v>221</v>
      </c>
      <c r="O75" s="13" t="s">
        <v>33</v>
      </c>
      <c r="P75" s="70">
        <v>1</v>
      </c>
      <c r="Q75" s="108">
        <f>0.97/1.2</f>
        <v>0.8083333333333333</v>
      </c>
      <c r="R75" s="73">
        <f>R$6</f>
        <v>1.209159</v>
      </c>
      <c r="S75" s="16">
        <f t="shared" si="17"/>
        <v>0.977403525</v>
      </c>
      <c r="T75" s="16">
        <f aca="true" t="shared" si="24" ref="T75:T81">E75*F75</f>
        <v>41.13097835</v>
      </c>
    </row>
    <row r="76" spans="1:20" s="60" customFormat="1" ht="32.25" customHeight="1">
      <c r="A76" s="13">
        <v>18</v>
      </c>
      <c r="B76" s="20" t="s">
        <v>92</v>
      </c>
      <c r="C76" s="61" t="s">
        <v>209</v>
      </c>
      <c r="D76" s="13" t="s">
        <v>33</v>
      </c>
      <c r="E76" s="111">
        <v>1</v>
      </c>
      <c r="F76" s="16">
        <f t="shared" si="18"/>
        <v>4.825816049</v>
      </c>
      <c r="G76" s="13">
        <v>1.04</v>
      </c>
      <c r="H76" s="14">
        <f>H$6</f>
        <v>1.98367</v>
      </c>
      <c r="I76" s="16">
        <f t="shared" si="22"/>
        <v>2.0630168</v>
      </c>
      <c r="J76" s="13">
        <v>0.06</v>
      </c>
      <c r="K76" s="14">
        <f>K$6</f>
        <v>3.50441</v>
      </c>
      <c r="L76" s="16">
        <f t="shared" si="23"/>
        <v>0.2102646</v>
      </c>
      <c r="M76" s="61" t="s">
        <v>80</v>
      </c>
      <c r="N76" s="14" t="s">
        <v>208</v>
      </c>
      <c r="O76" s="13" t="s">
        <v>33</v>
      </c>
      <c r="P76" s="70">
        <v>1</v>
      </c>
      <c r="Q76" s="108">
        <v>2.111</v>
      </c>
      <c r="R76" s="73">
        <f>R$6</f>
        <v>1.209159</v>
      </c>
      <c r="S76" s="16">
        <f t="shared" si="17"/>
        <v>2.5525346490000005</v>
      </c>
      <c r="T76" s="16">
        <f t="shared" si="24"/>
        <v>4.825816049</v>
      </c>
    </row>
    <row r="77" spans="1:20" s="60" customFormat="1" ht="32.25" customHeight="1">
      <c r="A77" s="13">
        <v>19</v>
      </c>
      <c r="B77" s="20" t="s">
        <v>92</v>
      </c>
      <c r="C77" s="61" t="s">
        <v>210</v>
      </c>
      <c r="D77" s="13" t="s">
        <v>33</v>
      </c>
      <c r="E77" s="111">
        <v>1</v>
      </c>
      <c r="F77" s="16">
        <f t="shared" si="18"/>
        <v>6.807627650000001</v>
      </c>
      <c r="G77" s="13">
        <v>1.04</v>
      </c>
      <c r="H77" s="14">
        <f>H$6</f>
        <v>1.98367</v>
      </c>
      <c r="I77" s="16">
        <f t="shared" si="22"/>
        <v>2.0630168</v>
      </c>
      <c r="J77" s="13">
        <v>0.06</v>
      </c>
      <c r="K77" s="14">
        <f>K$6</f>
        <v>3.50441</v>
      </c>
      <c r="L77" s="16">
        <f t="shared" si="23"/>
        <v>0.2102646</v>
      </c>
      <c r="M77" s="61" t="s">
        <v>80</v>
      </c>
      <c r="N77" s="14" t="s">
        <v>219</v>
      </c>
      <c r="O77" s="13" t="s">
        <v>33</v>
      </c>
      <c r="P77" s="70">
        <v>1</v>
      </c>
      <c r="Q77" s="108">
        <f>4.5/1.2</f>
        <v>3.75</v>
      </c>
      <c r="R77" s="73">
        <f>R$6</f>
        <v>1.209159</v>
      </c>
      <c r="S77" s="16">
        <f>P77*Q77*R77</f>
        <v>4.5343462500000005</v>
      </c>
      <c r="T77" s="16">
        <f t="shared" si="24"/>
        <v>6.807627650000001</v>
      </c>
    </row>
    <row r="78" spans="1:20" s="60" customFormat="1" ht="32.25" customHeight="1">
      <c r="A78" s="13">
        <v>20</v>
      </c>
      <c r="B78" s="20" t="s">
        <v>92</v>
      </c>
      <c r="C78" s="61" t="s">
        <v>211</v>
      </c>
      <c r="D78" s="13" t="s">
        <v>33</v>
      </c>
      <c r="E78" s="111">
        <v>2</v>
      </c>
      <c r="F78" s="16">
        <f t="shared" si="18"/>
        <v>10.1328149</v>
      </c>
      <c r="G78" s="13">
        <v>1.04</v>
      </c>
      <c r="H78" s="14">
        <f>H$6</f>
        <v>1.98367</v>
      </c>
      <c r="I78" s="16">
        <f t="shared" si="22"/>
        <v>2.0630168</v>
      </c>
      <c r="J78" s="13">
        <v>0.06</v>
      </c>
      <c r="K78" s="14">
        <f>K$6</f>
        <v>3.50441</v>
      </c>
      <c r="L78" s="16">
        <f t="shared" si="23"/>
        <v>0.2102646</v>
      </c>
      <c r="M78" s="61" t="s">
        <v>80</v>
      </c>
      <c r="N78" s="14" t="s">
        <v>219</v>
      </c>
      <c r="O78" s="13" t="s">
        <v>33</v>
      </c>
      <c r="P78" s="70">
        <v>1</v>
      </c>
      <c r="Q78" s="108">
        <v>6.5</v>
      </c>
      <c r="R78" s="73">
        <f>R$6</f>
        <v>1.209159</v>
      </c>
      <c r="S78" s="16">
        <f>P78*Q78*R78</f>
        <v>7.8595335</v>
      </c>
      <c r="T78" s="16">
        <f t="shared" si="24"/>
        <v>20.2656298</v>
      </c>
    </row>
    <row r="79" spans="1:168" s="60" customFormat="1" ht="22.5" customHeight="1">
      <c r="A79" s="14">
        <v>21</v>
      </c>
      <c r="B79" s="20" t="s">
        <v>29</v>
      </c>
      <c r="C79" s="61" t="s">
        <v>212</v>
      </c>
      <c r="D79" s="13" t="s">
        <v>67</v>
      </c>
      <c r="E79" s="19">
        <v>4</v>
      </c>
      <c r="F79" s="16">
        <f t="shared" si="18"/>
        <v>13.099222500000002</v>
      </c>
      <c r="G79" s="16"/>
      <c r="H79" s="13">
        <f t="shared" si="14"/>
        <v>1.98367</v>
      </c>
      <c r="I79" s="16">
        <f t="shared" si="22"/>
        <v>0</v>
      </c>
      <c r="J79" s="17"/>
      <c r="K79" s="67">
        <f t="shared" si="15"/>
        <v>3.50441</v>
      </c>
      <c r="L79" s="16">
        <f t="shared" si="23"/>
        <v>0</v>
      </c>
      <c r="M79" s="61" t="s">
        <v>213</v>
      </c>
      <c r="N79" s="14" t="s">
        <v>219</v>
      </c>
      <c r="O79" s="13" t="s">
        <v>67</v>
      </c>
      <c r="P79" s="19">
        <v>1</v>
      </c>
      <c r="Q79" s="121">
        <f>13/1.2</f>
        <v>10.833333333333334</v>
      </c>
      <c r="R79" s="67">
        <f t="shared" si="16"/>
        <v>1.209159</v>
      </c>
      <c r="S79" s="57">
        <f>P79*Q79*R79</f>
        <v>13.099222500000002</v>
      </c>
      <c r="T79" s="57">
        <f t="shared" si="24"/>
        <v>52.396890000000006</v>
      </c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</row>
    <row r="80" spans="1:20" s="104" customFormat="1" ht="35.25" customHeight="1">
      <c r="A80" s="11">
        <v>22</v>
      </c>
      <c r="B80" s="58" t="s">
        <v>158</v>
      </c>
      <c r="C80" s="61" t="s">
        <v>222</v>
      </c>
      <c r="D80" s="13" t="s">
        <v>33</v>
      </c>
      <c r="E80" s="19">
        <v>10</v>
      </c>
      <c r="F80" s="16">
        <f t="shared" si="18"/>
        <v>10.82624955</v>
      </c>
      <c r="G80" s="13">
        <v>1.49</v>
      </c>
      <c r="H80" s="13">
        <f t="shared" si="14"/>
        <v>1.98367</v>
      </c>
      <c r="I80" s="16">
        <f t="shared" si="22"/>
        <v>2.9556683</v>
      </c>
      <c r="J80" s="16">
        <v>0.86</v>
      </c>
      <c r="K80" s="67">
        <f t="shared" si="15"/>
        <v>3.50441</v>
      </c>
      <c r="L80" s="16">
        <f t="shared" si="23"/>
        <v>3.0137926</v>
      </c>
      <c r="M80" s="61" t="s">
        <v>159</v>
      </c>
      <c r="N80" s="14" t="s">
        <v>90</v>
      </c>
      <c r="O80" s="13" t="s">
        <v>33</v>
      </c>
      <c r="P80" s="19">
        <v>1</v>
      </c>
      <c r="Q80" s="18">
        <f>4.82/1.2</f>
        <v>4.0166666666666675</v>
      </c>
      <c r="R80" s="67">
        <f t="shared" si="16"/>
        <v>1.209159</v>
      </c>
      <c r="S80" s="57">
        <f t="shared" si="17"/>
        <v>4.856788650000001</v>
      </c>
      <c r="T80" s="57">
        <f t="shared" si="24"/>
        <v>108.2624955</v>
      </c>
    </row>
    <row r="81" spans="1:20" s="104" customFormat="1" ht="21.75" customHeight="1">
      <c r="A81" s="154">
        <v>23</v>
      </c>
      <c r="B81" s="161" t="s">
        <v>160</v>
      </c>
      <c r="C81" s="162" t="s">
        <v>161</v>
      </c>
      <c r="D81" s="159" t="s">
        <v>31</v>
      </c>
      <c r="E81" s="160">
        <f>E66*0.11*3.14+E69*0.06*3.14</f>
        <v>13.187999999999999</v>
      </c>
      <c r="F81" s="160">
        <f>I81+L81+S81+S82</f>
        <v>0.6999775053840426</v>
      </c>
      <c r="G81" s="159">
        <v>0.214</v>
      </c>
      <c r="H81" s="13">
        <f t="shared" si="14"/>
        <v>1.98367</v>
      </c>
      <c r="I81" s="160">
        <f t="shared" si="22"/>
        <v>0.42450538</v>
      </c>
      <c r="J81" s="163">
        <v>0.003</v>
      </c>
      <c r="K81" s="67">
        <f t="shared" si="15"/>
        <v>3.50441</v>
      </c>
      <c r="L81" s="160">
        <f t="shared" si="23"/>
        <v>0.01051323</v>
      </c>
      <c r="M81" s="61" t="s">
        <v>75</v>
      </c>
      <c r="N81" s="62" t="s">
        <v>186</v>
      </c>
      <c r="O81" s="11" t="s">
        <v>22</v>
      </c>
      <c r="P81" s="11">
        <v>0.244</v>
      </c>
      <c r="Q81" s="109">
        <v>0.8</v>
      </c>
      <c r="R81" s="67">
        <f t="shared" si="16"/>
        <v>1.209159</v>
      </c>
      <c r="S81" s="57">
        <f t="shared" si="17"/>
        <v>0.23602783680000003</v>
      </c>
      <c r="T81" s="158">
        <f t="shared" si="24"/>
        <v>9.231303341004752</v>
      </c>
    </row>
    <row r="82" spans="1:20" s="104" customFormat="1" ht="21.75" customHeight="1">
      <c r="A82" s="154"/>
      <c r="B82" s="161"/>
      <c r="C82" s="162"/>
      <c r="D82" s="159"/>
      <c r="E82" s="160"/>
      <c r="F82" s="160"/>
      <c r="G82" s="159"/>
      <c r="H82" s="13">
        <f t="shared" si="14"/>
        <v>1.98367</v>
      </c>
      <c r="I82" s="160"/>
      <c r="J82" s="163"/>
      <c r="K82" s="67">
        <f t="shared" si="15"/>
        <v>3.50441</v>
      </c>
      <c r="L82" s="160"/>
      <c r="M82" s="61" t="s">
        <v>76</v>
      </c>
      <c r="N82" s="11" t="s">
        <v>171</v>
      </c>
      <c r="O82" s="11" t="s">
        <v>22</v>
      </c>
      <c r="P82" s="11">
        <f>2.7/100</f>
        <v>0.027000000000000003</v>
      </c>
      <c r="Q82" s="110">
        <f>0.833/0.94</f>
        <v>0.8861702127659574</v>
      </c>
      <c r="R82" s="67">
        <f t="shared" si="16"/>
        <v>1.209159</v>
      </c>
      <c r="S82" s="57">
        <f t="shared" si="17"/>
        <v>0.02893105858404256</v>
      </c>
      <c r="T82" s="158"/>
    </row>
    <row r="83" spans="1:23" s="107" customFormat="1" ht="15" customHeight="1">
      <c r="A83" s="15"/>
      <c r="B83" s="105"/>
      <c r="C83" s="69" t="s">
        <v>44</v>
      </c>
      <c r="D83" s="15"/>
      <c r="E83" s="15"/>
      <c r="F83" s="15"/>
      <c r="G83" s="15"/>
      <c r="H83" s="15"/>
      <c r="I83" s="16"/>
      <c r="J83" s="15"/>
      <c r="K83" s="15"/>
      <c r="L83" s="25"/>
      <c r="M83" s="69"/>
      <c r="N83" s="15"/>
      <c r="O83" s="15"/>
      <c r="P83" s="15"/>
      <c r="Q83" s="15"/>
      <c r="R83" s="15"/>
      <c r="S83" s="57">
        <f t="shared" si="17"/>
        <v>0</v>
      </c>
      <c r="T83" s="25">
        <f>SUM(T59:T82)</f>
        <v>732.283976447361</v>
      </c>
      <c r="U83" s="106"/>
      <c r="V83" s="106"/>
      <c r="W83" s="106"/>
    </row>
    <row r="84" spans="1:23" s="107" customFormat="1" ht="15" customHeight="1">
      <c r="A84" s="15"/>
      <c r="B84" s="105"/>
      <c r="C84" s="69" t="s">
        <v>145</v>
      </c>
      <c r="D84" s="15"/>
      <c r="E84" s="15"/>
      <c r="F84" s="15"/>
      <c r="G84" s="15"/>
      <c r="H84" s="15"/>
      <c r="I84" s="16"/>
      <c r="J84" s="15"/>
      <c r="K84" s="15"/>
      <c r="L84" s="25"/>
      <c r="M84" s="15"/>
      <c r="N84" s="15"/>
      <c r="O84" s="15"/>
      <c r="P84" s="15"/>
      <c r="Q84" s="15"/>
      <c r="R84" s="15"/>
      <c r="S84" s="57"/>
      <c r="T84" s="25">
        <f>T35+T43+T83</f>
        <v>4926.504594653381</v>
      </c>
      <c r="U84" s="106"/>
      <c r="V84" s="106"/>
      <c r="W84" s="106"/>
    </row>
    <row r="85" spans="1:20" ht="19.5" customHeight="1">
      <c r="A85" s="13"/>
      <c r="B85" s="15"/>
      <c r="C85" s="61" t="s">
        <v>15</v>
      </c>
      <c r="D85" s="2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>
        <f>T84*0.133</f>
        <v>655.2251110888997</v>
      </c>
    </row>
    <row r="86" spans="1:20" ht="19.5" customHeight="1">
      <c r="A86" s="13"/>
      <c r="B86" s="13"/>
      <c r="C86" s="61" t="s">
        <v>44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5">
        <f>SUM(T84:T85)</f>
        <v>5581.72970574228</v>
      </c>
    </row>
    <row r="87" spans="1:20" ht="16.5" customHeight="1">
      <c r="A87" s="13"/>
      <c r="B87" s="13"/>
      <c r="C87" s="61" t="s">
        <v>12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f>T86*0.11</f>
        <v>613.9902676316508</v>
      </c>
    </row>
    <row r="88" spans="1:20" ht="18" customHeight="1">
      <c r="A88" s="13"/>
      <c r="B88" s="13"/>
      <c r="C88" s="69" t="s">
        <v>44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25">
        <f>T86+T87</f>
        <v>6195.719973373931</v>
      </c>
    </row>
    <row r="90" spans="6:13" ht="14.25">
      <c r="F90" s="137" t="s">
        <v>46</v>
      </c>
      <c r="G90" s="137"/>
      <c r="H90" s="137"/>
      <c r="I90" s="137"/>
      <c r="J90" s="24"/>
      <c r="K90" s="24"/>
      <c r="L90" s="137"/>
      <c r="M90" s="137"/>
    </row>
  </sheetData>
  <sheetProtection/>
  <mergeCells count="115">
    <mergeCell ref="G81:G82"/>
    <mergeCell ref="I81:I82"/>
    <mergeCell ref="J81:J82"/>
    <mergeCell ref="L81:L82"/>
    <mergeCell ref="T81:T82"/>
    <mergeCell ref="F90:I90"/>
    <mergeCell ref="L90:M90"/>
    <mergeCell ref="A81:A82"/>
    <mergeCell ref="B81:B82"/>
    <mergeCell ref="C81:C82"/>
    <mergeCell ref="D81:D82"/>
    <mergeCell ref="E81:E82"/>
    <mergeCell ref="F81:F82"/>
    <mergeCell ref="F40:F41"/>
    <mergeCell ref="G40:G41"/>
    <mergeCell ref="I40:I41"/>
    <mergeCell ref="J40:J41"/>
    <mergeCell ref="L40:L41"/>
    <mergeCell ref="T40:T41"/>
    <mergeCell ref="G32:G34"/>
    <mergeCell ref="I32:I34"/>
    <mergeCell ref="J32:J34"/>
    <mergeCell ref="L32:L34"/>
    <mergeCell ref="T32:T34"/>
    <mergeCell ref="A40:A41"/>
    <mergeCell ref="B40:B41"/>
    <mergeCell ref="C40:C41"/>
    <mergeCell ref="D40:D41"/>
    <mergeCell ref="E40:E41"/>
    <mergeCell ref="A32:A34"/>
    <mergeCell ref="B32:B34"/>
    <mergeCell ref="C32:C34"/>
    <mergeCell ref="D32:D34"/>
    <mergeCell ref="E32:E34"/>
    <mergeCell ref="F32:F34"/>
    <mergeCell ref="F29:F31"/>
    <mergeCell ref="G29:G31"/>
    <mergeCell ref="I29:I31"/>
    <mergeCell ref="J29:J31"/>
    <mergeCell ref="L29:L31"/>
    <mergeCell ref="T29:T31"/>
    <mergeCell ref="G25:G27"/>
    <mergeCell ref="I25:I27"/>
    <mergeCell ref="J25:J27"/>
    <mergeCell ref="L25:L27"/>
    <mergeCell ref="T25:T27"/>
    <mergeCell ref="A29:A31"/>
    <mergeCell ref="B29:B31"/>
    <mergeCell ref="C29:C31"/>
    <mergeCell ref="D29:D31"/>
    <mergeCell ref="E29:E31"/>
    <mergeCell ref="A25:A27"/>
    <mergeCell ref="B25:B27"/>
    <mergeCell ref="C25:C27"/>
    <mergeCell ref="D25:D27"/>
    <mergeCell ref="E25:E27"/>
    <mergeCell ref="F25:F27"/>
    <mergeCell ref="F23:F24"/>
    <mergeCell ref="G23:G24"/>
    <mergeCell ref="I23:I24"/>
    <mergeCell ref="J23:J24"/>
    <mergeCell ref="L23:L24"/>
    <mergeCell ref="T23:T24"/>
    <mergeCell ref="G21:G22"/>
    <mergeCell ref="I21:I22"/>
    <mergeCell ref="J21:J22"/>
    <mergeCell ref="L21:L22"/>
    <mergeCell ref="T21:T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F17:F20"/>
    <mergeCell ref="G17:G20"/>
    <mergeCell ref="I17:I20"/>
    <mergeCell ref="J17:J20"/>
    <mergeCell ref="L17:L20"/>
    <mergeCell ref="T17:T20"/>
    <mergeCell ref="G12:G16"/>
    <mergeCell ref="I12:I16"/>
    <mergeCell ref="J12:J16"/>
    <mergeCell ref="L12:L16"/>
    <mergeCell ref="T12:T16"/>
    <mergeCell ref="A17:A20"/>
    <mergeCell ref="B17:B20"/>
    <mergeCell ref="C17:C20"/>
    <mergeCell ref="D17:D20"/>
    <mergeCell ref="E17:E20"/>
    <mergeCell ref="T3:T5"/>
    <mergeCell ref="G4:I4"/>
    <mergeCell ref="J4:L4"/>
    <mergeCell ref="M4:S4"/>
    <mergeCell ref="A12:A16"/>
    <mergeCell ref="B12:B16"/>
    <mergeCell ref="C12:C16"/>
    <mergeCell ref="D12:D16"/>
    <mergeCell ref="E12:E16"/>
    <mergeCell ref="F12:F16"/>
    <mergeCell ref="A1:E1"/>
    <mergeCell ref="A2:E2"/>
    <mergeCell ref="L2:P2"/>
    <mergeCell ref="A3:A5"/>
    <mergeCell ref="B3:B5"/>
    <mergeCell ref="C3:C5"/>
    <mergeCell ref="D3:D5"/>
    <mergeCell ref="E3:E5"/>
    <mergeCell ref="F3:F5"/>
    <mergeCell ref="G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64">
      <selection activeCell="G83" sqref="G83:G84"/>
    </sheetView>
  </sheetViews>
  <sheetFormatPr defaultColWidth="9.140625" defaultRowHeight="12.75"/>
  <cols>
    <col min="1" max="1" width="5.00390625" style="2" customWidth="1"/>
    <col min="2" max="2" width="8.421875" style="2" customWidth="1"/>
    <col min="3" max="3" width="33.00390625" style="2" customWidth="1"/>
    <col min="4" max="4" width="6.8515625" style="2" customWidth="1"/>
    <col min="5" max="5" width="10.57421875" style="124" customWidth="1"/>
    <col min="6" max="6" width="12.57421875" style="2" customWidth="1"/>
    <col min="7" max="7" width="12.57421875" style="0" customWidth="1"/>
  </cols>
  <sheetData>
    <row r="1" spans="1:8" ht="17.25" customHeight="1">
      <c r="A1" s="170" t="s">
        <v>272</v>
      </c>
      <c r="B1" s="170"/>
      <c r="C1" s="170"/>
      <c r="D1" s="170"/>
      <c r="E1" s="170"/>
      <c r="F1" s="170"/>
      <c r="G1" s="170"/>
      <c r="H1" s="136"/>
    </row>
    <row r="2" spans="1:7" ht="13.5" customHeight="1">
      <c r="A2" s="137" t="s">
        <v>274</v>
      </c>
      <c r="B2" s="192"/>
      <c r="C2" s="192"/>
      <c r="D2" s="192"/>
      <c r="E2" s="192"/>
      <c r="F2" s="192"/>
      <c r="G2" s="192"/>
    </row>
    <row r="3" spans="1:7" ht="51.75" customHeight="1">
      <c r="A3" s="192"/>
      <c r="B3" s="192"/>
      <c r="C3" s="192"/>
      <c r="D3" s="192"/>
      <c r="E3" s="192"/>
      <c r="F3" s="192"/>
      <c r="G3" s="192"/>
    </row>
    <row r="4" spans="1:7" ht="13.5" customHeight="1">
      <c r="A4" s="172"/>
      <c r="B4" s="172"/>
      <c r="C4" s="172"/>
      <c r="D4" s="172"/>
      <c r="E4" s="172"/>
      <c r="F4" s="194" t="s">
        <v>269</v>
      </c>
      <c r="G4" s="194"/>
    </row>
    <row r="5" spans="1:7" ht="12.75" customHeight="1">
      <c r="A5" s="159" t="s">
        <v>18</v>
      </c>
      <c r="B5" s="195" t="s">
        <v>9</v>
      </c>
      <c r="C5" s="159" t="s">
        <v>7</v>
      </c>
      <c r="D5" s="195" t="s">
        <v>13</v>
      </c>
      <c r="E5" s="196" t="s">
        <v>16</v>
      </c>
      <c r="F5" s="197" t="s">
        <v>270</v>
      </c>
      <c r="G5" s="142" t="s">
        <v>271</v>
      </c>
    </row>
    <row r="6" spans="1:7" ht="12.75">
      <c r="A6" s="159"/>
      <c r="B6" s="195"/>
      <c r="C6" s="159"/>
      <c r="D6" s="195"/>
      <c r="E6" s="196"/>
      <c r="F6" s="198"/>
      <c r="G6" s="193"/>
    </row>
    <row r="7" spans="1:7" ht="39.75" customHeight="1">
      <c r="A7" s="159"/>
      <c r="B7" s="195"/>
      <c r="C7" s="159"/>
      <c r="D7" s="195"/>
      <c r="E7" s="196"/>
      <c r="F7" s="199"/>
      <c r="G7" s="143"/>
    </row>
    <row r="8" spans="1:7" ht="12.75" customHeight="1">
      <c r="A8" s="14">
        <v>1</v>
      </c>
      <c r="B8" s="14">
        <v>2</v>
      </c>
      <c r="C8" s="14">
        <v>3</v>
      </c>
      <c r="D8" s="14">
        <v>4</v>
      </c>
      <c r="E8" s="125">
        <v>5</v>
      </c>
      <c r="F8" s="14">
        <v>6</v>
      </c>
      <c r="G8" s="123"/>
    </row>
    <row r="9" spans="1:7" ht="14.25">
      <c r="A9" s="13"/>
      <c r="B9" s="13"/>
      <c r="C9" s="64" t="s">
        <v>84</v>
      </c>
      <c r="D9" s="13"/>
      <c r="E9" s="126"/>
      <c r="F9" s="13"/>
      <c r="G9" s="123"/>
    </row>
    <row r="10" spans="1:7" ht="27">
      <c r="A10" s="13">
        <v>1</v>
      </c>
      <c r="B10" s="16" t="s">
        <v>89</v>
      </c>
      <c r="C10" s="23" t="s">
        <v>162</v>
      </c>
      <c r="D10" s="13" t="s">
        <v>31</v>
      </c>
      <c r="E10" s="127">
        <f>232-E11</f>
        <v>196.624</v>
      </c>
      <c r="F10" s="16"/>
      <c r="G10" s="123"/>
    </row>
    <row r="11" spans="1:7" ht="27" customHeight="1">
      <c r="A11" s="13">
        <v>2</v>
      </c>
      <c r="B11" s="23" t="s">
        <v>124</v>
      </c>
      <c r="C11" s="23" t="s">
        <v>163</v>
      </c>
      <c r="D11" s="13" t="s">
        <v>31</v>
      </c>
      <c r="E11" s="128">
        <f>(16.58+12.9)*2*0.6</f>
        <v>35.376</v>
      </c>
      <c r="F11" s="16"/>
      <c r="G11" s="123"/>
    </row>
    <row r="12" spans="1:7" ht="40.5">
      <c r="A12" s="13">
        <v>3</v>
      </c>
      <c r="B12" s="21" t="s">
        <v>95</v>
      </c>
      <c r="C12" s="23" t="s">
        <v>140</v>
      </c>
      <c r="D12" s="13" t="s">
        <v>23</v>
      </c>
      <c r="E12" s="128">
        <v>5.4</v>
      </c>
      <c r="F12" s="16"/>
      <c r="G12" s="123"/>
    </row>
    <row r="13" spans="1:7" ht="27">
      <c r="A13" s="13">
        <v>4</v>
      </c>
      <c r="B13" s="21" t="s">
        <v>125</v>
      </c>
      <c r="C13" s="23" t="s">
        <v>164</v>
      </c>
      <c r="D13" s="13" t="s">
        <v>32</v>
      </c>
      <c r="E13" s="127">
        <f>8*5</f>
        <v>40</v>
      </c>
      <c r="F13" s="16"/>
      <c r="G13" s="123"/>
    </row>
    <row r="14" spans="1:7" ht="12.75" customHeight="1">
      <c r="A14" s="159">
        <v>5</v>
      </c>
      <c r="B14" s="161" t="s">
        <v>126</v>
      </c>
      <c r="C14" s="162" t="s">
        <v>234</v>
      </c>
      <c r="D14" s="159" t="s">
        <v>23</v>
      </c>
      <c r="E14" s="200">
        <v>6.638</v>
      </c>
      <c r="F14" s="201"/>
      <c r="G14" s="189"/>
    </row>
    <row r="15" spans="1:7" ht="12.75" customHeight="1">
      <c r="A15" s="159"/>
      <c r="B15" s="161"/>
      <c r="C15" s="162"/>
      <c r="D15" s="159"/>
      <c r="E15" s="200"/>
      <c r="F15" s="202"/>
      <c r="G15" s="190"/>
    </row>
    <row r="16" spans="1:7" ht="12.75" customHeight="1">
      <c r="A16" s="159"/>
      <c r="B16" s="161"/>
      <c r="C16" s="162"/>
      <c r="D16" s="159"/>
      <c r="E16" s="200"/>
      <c r="F16" s="202"/>
      <c r="G16" s="190"/>
    </row>
    <row r="17" spans="1:7" ht="12.75" customHeight="1">
      <c r="A17" s="159"/>
      <c r="B17" s="161"/>
      <c r="C17" s="162"/>
      <c r="D17" s="159"/>
      <c r="E17" s="200"/>
      <c r="F17" s="202"/>
      <c r="G17" s="190"/>
    </row>
    <row r="18" spans="1:7" ht="12.75" customHeight="1">
      <c r="A18" s="159"/>
      <c r="B18" s="161"/>
      <c r="C18" s="162"/>
      <c r="D18" s="159"/>
      <c r="E18" s="200"/>
      <c r="F18" s="203"/>
      <c r="G18" s="191"/>
    </row>
    <row r="19" spans="1:7" ht="12.75" customHeight="1">
      <c r="A19" s="159">
        <v>6</v>
      </c>
      <c r="B19" s="161" t="s">
        <v>78</v>
      </c>
      <c r="C19" s="162" t="s">
        <v>228</v>
      </c>
      <c r="D19" s="159" t="s">
        <v>67</v>
      </c>
      <c r="E19" s="204">
        <f>(12.9+16.58)*2+(4.78+3.63)*2</f>
        <v>75.78</v>
      </c>
      <c r="F19" s="201"/>
      <c r="G19" s="189"/>
    </row>
    <row r="20" spans="1:7" ht="12.75" customHeight="1">
      <c r="A20" s="159"/>
      <c r="B20" s="161"/>
      <c r="C20" s="162"/>
      <c r="D20" s="159"/>
      <c r="E20" s="204"/>
      <c r="F20" s="202"/>
      <c r="G20" s="190"/>
    </row>
    <row r="21" spans="1:7" ht="12.75" customHeight="1">
      <c r="A21" s="159"/>
      <c r="B21" s="161"/>
      <c r="C21" s="162"/>
      <c r="D21" s="159"/>
      <c r="E21" s="204"/>
      <c r="F21" s="202"/>
      <c r="G21" s="190"/>
    </row>
    <row r="22" spans="1:7" ht="12.75" customHeight="1">
      <c r="A22" s="159"/>
      <c r="B22" s="161"/>
      <c r="C22" s="162"/>
      <c r="D22" s="159"/>
      <c r="E22" s="204"/>
      <c r="F22" s="203"/>
      <c r="G22" s="191"/>
    </row>
    <row r="23" spans="1:7" ht="12.75" customHeight="1">
      <c r="A23" s="159">
        <v>7</v>
      </c>
      <c r="B23" s="161" t="s">
        <v>128</v>
      </c>
      <c r="C23" s="162" t="s">
        <v>233</v>
      </c>
      <c r="D23" s="159" t="s">
        <v>70</v>
      </c>
      <c r="E23" s="205">
        <v>1.966</v>
      </c>
      <c r="F23" s="201"/>
      <c r="G23" s="189"/>
    </row>
    <row r="24" spans="1:7" ht="12.75" customHeight="1">
      <c r="A24" s="159"/>
      <c r="B24" s="161"/>
      <c r="C24" s="162"/>
      <c r="D24" s="159"/>
      <c r="E24" s="205"/>
      <c r="F24" s="203"/>
      <c r="G24" s="191"/>
    </row>
    <row r="25" spans="1:7" ht="12.75" customHeight="1">
      <c r="A25" s="159">
        <v>8</v>
      </c>
      <c r="B25" s="161" t="s">
        <v>72</v>
      </c>
      <c r="C25" s="162" t="s">
        <v>166</v>
      </c>
      <c r="D25" s="159" t="s">
        <v>31</v>
      </c>
      <c r="E25" s="206">
        <v>16</v>
      </c>
      <c r="F25" s="201"/>
      <c r="G25" s="189"/>
    </row>
    <row r="26" spans="1:7" ht="12.75" customHeight="1">
      <c r="A26" s="159"/>
      <c r="B26" s="161"/>
      <c r="C26" s="162"/>
      <c r="D26" s="159"/>
      <c r="E26" s="206"/>
      <c r="F26" s="203"/>
      <c r="G26" s="191"/>
    </row>
    <row r="27" spans="1:7" ht="12.75" customHeight="1">
      <c r="A27" s="159">
        <v>9</v>
      </c>
      <c r="B27" s="159" t="s">
        <v>137</v>
      </c>
      <c r="C27" s="162" t="s">
        <v>138</v>
      </c>
      <c r="D27" s="159" t="s">
        <v>32</v>
      </c>
      <c r="E27" s="206">
        <f>5.2*8</f>
        <v>41.6</v>
      </c>
      <c r="F27" s="201"/>
      <c r="G27" s="189"/>
    </row>
    <row r="28" spans="1:7" ht="12.75" customHeight="1">
      <c r="A28" s="159"/>
      <c r="B28" s="159"/>
      <c r="C28" s="162"/>
      <c r="D28" s="159"/>
      <c r="E28" s="206"/>
      <c r="F28" s="202"/>
      <c r="G28" s="190"/>
    </row>
    <row r="29" spans="1:7" ht="12.75" customHeight="1">
      <c r="A29" s="159"/>
      <c r="B29" s="159"/>
      <c r="C29" s="162"/>
      <c r="D29" s="159"/>
      <c r="E29" s="206"/>
      <c r="F29" s="203"/>
      <c r="G29" s="191"/>
    </row>
    <row r="30" spans="1:7" ht="13.5">
      <c r="A30" s="13">
        <v>10</v>
      </c>
      <c r="B30" s="20" t="s">
        <v>29</v>
      </c>
      <c r="C30" s="61" t="s">
        <v>139</v>
      </c>
      <c r="D30" s="13" t="s">
        <v>33</v>
      </c>
      <c r="E30" s="127">
        <v>8</v>
      </c>
      <c r="F30" s="16"/>
      <c r="G30" s="123"/>
    </row>
    <row r="31" spans="1:7" ht="12.75" customHeight="1">
      <c r="A31" s="159">
        <v>11</v>
      </c>
      <c r="B31" s="159" t="s">
        <v>130</v>
      </c>
      <c r="C31" s="162" t="s">
        <v>131</v>
      </c>
      <c r="D31" s="159" t="s">
        <v>23</v>
      </c>
      <c r="E31" s="200">
        <v>6.638</v>
      </c>
      <c r="F31" s="201"/>
      <c r="G31" s="189"/>
    </row>
    <row r="32" spans="1:7" ht="12.75" customHeight="1">
      <c r="A32" s="159"/>
      <c r="B32" s="159"/>
      <c r="C32" s="162"/>
      <c r="D32" s="159"/>
      <c r="E32" s="200"/>
      <c r="F32" s="202"/>
      <c r="G32" s="190"/>
    </row>
    <row r="33" spans="1:7" ht="12.75" customHeight="1">
      <c r="A33" s="159"/>
      <c r="B33" s="159"/>
      <c r="C33" s="162"/>
      <c r="D33" s="159"/>
      <c r="E33" s="200"/>
      <c r="F33" s="203"/>
      <c r="G33" s="191"/>
    </row>
    <row r="34" spans="1:7" ht="12.75" customHeight="1">
      <c r="A34" s="159">
        <v>12</v>
      </c>
      <c r="B34" s="159" t="s">
        <v>134</v>
      </c>
      <c r="C34" s="162" t="s">
        <v>141</v>
      </c>
      <c r="D34" s="159" t="s">
        <v>135</v>
      </c>
      <c r="E34" s="207">
        <v>2.32</v>
      </c>
      <c r="F34" s="201"/>
      <c r="G34" s="189"/>
    </row>
    <row r="35" spans="1:7" ht="12.75" customHeight="1">
      <c r="A35" s="159"/>
      <c r="B35" s="159"/>
      <c r="C35" s="162"/>
      <c r="D35" s="159"/>
      <c r="E35" s="207"/>
      <c r="F35" s="202"/>
      <c r="G35" s="190"/>
    </row>
    <row r="36" spans="1:7" ht="12.75" customHeight="1">
      <c r="A36" s="159"/>
      <c r="B36" s="159"/>
      <c r="C36" s="162"/>
      <c r="D36" s="159"/>
      <c r="E36" s="207"/>
      <c r="F36" s="203"/>
      <c r="G36" s="191"/>
    </row>
    <row r="37" spans="1:7" ht="14.25">
      <c r="A37" s="13"/>
      <c r="B37" s="13"/>
      <c r="C37" s="15" t="s">
        <v>44</v>
      </c>
      <c r="D37" s="13"/>
      <c r="E37" s="128"/>
      <c r="F37" s="16"/>
      <c r="G37" s="123"/>
    </row>
    <row r="38" spans="1:7" ht="14.25">
      <c r="A38" s="13"/>
      <c r="B38" s="13"/>
      <c r="C38" s="15" t="s">
        <v>175</v>
      </c>
      <c r="D38" s="13"/>
      <c r="E38" s="128"/>
      <c r="F38" s="16"/>
      <c r="G38" s="123"/>
    </row>
    <row r="39" spans="1:7" ht="40.5">
      <c r="A39" s="14">
        <v>1</v>
      </c>
      <c r="B39" s="20" t="s">
        <v>177</v>
      </c>
      <c r="C39" s="61" t="s">
        <v>176</v>
      </c>
      <c r="D39" s="13" t="s">
        <v>33</v>
      </c>
      <c r="E39" s="129">
        <v>3</v>
      </c>
      <c r="F39" s="16"/>
      <c r="G39" s="123"/>
    </row>
    <row r="40" spans="1:7" ht="13.5">
      <c r="A40" s="14">
        <v>2</v>
      </c>
      <c r="B40" s="20" t="s">
        <v>29</v>
      </c>
      <c r="C40" s="61" t="s">
        <v>178</v>
      </c>
      <c r="D40" s="13" t="s">
        <v>32</v>
      </c>
      <c r="E40" s="129">
        <v>54</v>
      </c>
      <c r="F40" s="16"/>
      <c r="G40" s="123"/>
    </row>
    <row r="41" spans="1:7" ht="13.5">
      <c r="A41" s="14">
        <v>3</v>
      </c>
      <c r="B41" s="20" t="s">
        <v>29</v>
      </c>
      <c r="C41" s="61" t="s">
        <v>180</v>
      </c>
      <c r="D41" s="13" t="s">
        <v>23</v>
      </c>
      <c r="E41" s="130">
        <f>60*0.06*0.03</f>
        <v>0.10799999999999998</v>
      </c>
      <c r="F41" s="16"/>
      <c r="G41" s="123"/>
    </row>
    <row r="42" spans="1:7" ht="12.75" customHeight="1">
      <c r="A42" s="154">
        <v>4</v>
      </c>
      <c r="B42" s="155" t="s">
        <v>74</v>
      </c>
      <c r="C42" s="156" t="s">
        <v>185</v>
      </c>
      <c r="D42" s="154" t="s">
        <v>77</v>
      </c>
      <c r="E42" s="208">
        <f>E40*0.03*4</f>
        <v>6.4799999999999995</v>
      </c>
      <c r="F42" s="209"/>
      <c r="G42" s="189"/>
    </row>
    <row r="43" spans="1:7" ht="12.75" customHeight="1">
      <c r="A43" s="154"/>
      <c r="B43" s="155"/>
      <c r="C43" s="156"/>
      <c r="D43" s="154"/>
      <c r="E43" s="208"/>
      <c r="F43" s="210"/>
      <c r="G43" s="191"/>
    </row>
    <row r="44" spans="1:7" ht="27">
      <c r="A44" s="13">
        <v>5</v>
      </c>
      <c r="B44" s="20" t="s">
        <v>181</v>
      </c>
      <c r="C44" s="61" t="s">
        <v>182</v>
      </c>
      <c r="D44" s="13" t="s">
        <v>77</v>
      </c>
      <c r="E44" s="131">
        <f>0.09*2*60</f>
        <v>10.799999999999999</v>
      </c>
      <c r="F44" s="16"/>
      <c r="G44" s="123"/>
    </row>
    <row r="45" spans="1:7" ht="14.25">
      <c r="A45" s="13"/>
      <c r="B45" s="20"/>
      <c r="C45" s="15" t="s">
        <v>44</v>
      </c>
      <c r="D45" s="13"/>
      <c r="E45" s="128"/>
      <c r="F45" s="16"/>
      <c r="G45" s="123"/>
    </row>
    <row r="46" spans="1:7" ht="14.25">
      <c r="A46" s="13"/>
      <c r="B46" s="20"/>
      <c r="C46" s="15" t="s">
        <v>226</v>
      </c>
      <c r="D46" s="13"/>
      <c r="E46" s="128"/>
      <c r="F46" s="16"/>
      <c r="G46" s="123"/>
    </row>
    <row r="47" spans="1:7" ht="14.25">
      <c r="A47" s="11"/>
      <c r="B47" s="20"/>
      <c r="C47" s="69" t="s">
        <v>173</v>
      </c>
      <c r="D47" s="13"/>
      <c r="E47" s="128"/>
      <c r="F47" s="16"/>
      <c r="G47" s="123"/>
    </row>
    <row r="48" spans="1:7" ht="54">
      <c r="A48" s="13">
        <v>1</v>
      </c>
      <c r="B48" s="20" t="s">
        <v>189</v>
      </c>
      <c r="C48" s="61" t="s">
        <v>192</v>
      </c>
      <c r="D48" s="13" t="s">
        <v>23</v>
      </c>
      <c r="E48" s="129">
        <v>16</v>
      </c>
      <c r="F48" s="16"/>
      <c r="G48" s="123"/>
    </row>
    <row r="49" spans="1:7" ht="27">
      <c r="A49" s="13">
        <v>2</v>
      </c>
      <c r="B49" s="20" t="s">
        <v>190</v>
      </c>
      <c r="C49" s="23" t="s">
        <v>191</v>
      </c>
      <c r="D49" s="13" t="s">
        <v>23</v>
      </c>
      <c r="E49" s="129">
        <v>1.6</v>
      </c>
      <c r="F49" s="16"/>
      <c r="G49" s="123"/>
    </row>
    <row r="50" spans="1:7" ht="40.5">
      <c r="A50" s="14">
        <v>3</v>
      </c>
      <c r="B50" s="20" t="s">
        <v>174</v>
      </c>
      <c r="C50" s="61" t="s">
        <v>193</v>
      </c>
      <c r="D50" s="13" t="s">
        <v>194</v>
      </c>
      <c r="E50" s="129">
        <f>E52+E53</f>
        <v>5.5</v>
      </c>
      <c r="F50" s="16"/>
      <c r="G50" s="123"/>
    </row>
    <row r="51" spans="1:7" ht="27">
      <c r="A51" s="11">
        <v>4</v>
      </c>
      <c r="B51" s="11" t="s">
        <v>256</v>
      </c>
      <c r="C51" s="59" t="s">
        <v>255</v>
      </c>
      <c r="D51" s="11" t="s">
        <v>30</v>
      </c>
      <c r="E51" s="132">
        <f>5.5*1.75</f>
        <v>9.625</v>
      </c>
      <c r="F51" s="57"/>
      <c r="G51" s="123"/>
    </row>
    <row r="52" spans="1:7" ht="40.5">
      <c r="A52" s="13">
        <v>5</v>
      </c>
      <c r="B52" s="20" t="s">
        <v>195</v>
      </c>
      <c r="C52" s="61" t="s">
        <v>196</v>
      </c>
      <c r="D52" s="13" t="s">
        <v>23</v>
      </c>
      <c r="E52" s="129">
        <v>2.2</v>
      </c>
      <c r="F52" s="16"/>
      <c r="G52" s="123"/>
    </row>
    <row r="53" spans="1:7" ht="27">
      <c r="A53" s="13">
        <v>6</v>
      </c>
      <c r="B53" s="20" t="s">
        <v>195</v>
      </c>
      <c r="C53" s="61" t="s">
        <v>197</v>
      </c>
      <c r="D53" s="13" t="s">
        <v>23</v>
      </c>
      <c r="E53" s="129">
        <v>3.3</v>
      </c>
      <c r="F53" s="16"/>
      <c r="G53" s="123"/>
    </row>
    <row r="54" spans="1:7" ht="27">
      <c r="A54" s="13">
        <v>7</v>
      </c>
      <c r="B54" s="20" t="s">
        <v>147</v>
      </c>
      <c r="C54" s="61" t="s">
        <v>198</v>
      </c>
      <c r="D54" s="13" t="s">
        <v>23</v>
      </c>
      <c r="E54" s="129">
        <f>E48+E49-E50</f>
        <v>12.100000000000001</v>
      </c>
      <c r="F54" s="57"/>
      <c r="G54" s="123"/>
    </row>
    <row r="55" spans="1:7" ht="40.5">
      <c r="A55" s="14">
        <v>8</v>
      </c>
      <c r="B55" s="20" t="s">
        <v>151</v>
      </c>
      <c r="C55" s="61" t="s">
        <v>237</v>
      </c>
      <c r="D55" s="13" t="s">
        <v>32</v>
      </c>
      <c r="E55" s="129">
        <v>50</v>
      </c>
      <c r="F55" s="16"/>
      <c r="G55" s="123"/>
    </row>
    <row r="56" spans="1:7" ht="40.5">
      <c r="A56" s="14">
        <v>9</v>
      </c>
      <c r="B56" s="20" t="s">
        <v>200</v>
      </c>
      <c r="C56" s="61" t="s">
        <v>238</v>
      </c>
      <c r="D56" s="13" t="s">
        <v>32</v>
      </c>
      <c r="E56" s="129">
        <v>5</v>
      </c>
      <c r="F56" s="16"/>
      <c r="G56" s="123"/>
    </row>
    <row r="57" spans="1:7" ht="27">
      <c r="A57" s="14">
        <v>10</v>
      </c>
      <c r="B57" s="20" t="s">
        <v>152</v>
      </c>
      <c r="C57" s="61" t="s">
        <v>199</v>
      </c>
      <c r="D57" s="13" t="s">
        <v>153</v>
      </c>
      <c r="E57" s="131">
        <v>0.8</v>
      </c>
      <c r="F57" s="16"/>
      <c r="G57" s="123"/>
    </row>
    <row r="58" spans="1:7" ht="27">
      <c r="A58" s="14">
        <v>11</v>
      </c>
      <c r="B58" s="20" t="s">
        <v>152</v>
      </c>
      <c r="C58" s="61" t="s">
        <v>201</v>
      </c>
      <c r="D58" s="13" t="s">
        <v>153</v>
      </c>
      <c r="E58" s="131">
        <v>0.08</v>
      </c>
      <c r="F58" s="16"/>
      <c r="G58" s="123"/>
    </row>
    <row r="59" spans="1:7" ht="14.25">
      <c r="A59" s="15"/>
      <c r="B59" s="105"/>
      <c r="C59" s="69" t="s">
        <v>44</v>
      </c>
      <c r="D59" s="15"/>
      <c r="E59" s="133"/>
      <c r="F59" s="15"/>
      <c r="G59" s="123"/>
    </row>
    <row r="60" spans="1:7" ht="28.5">
      <c r="A60" s="14"/>
      <c r="B60" s="20"/>
      <c r="C60" s="15" t="s">
        <v>207</v>
      </c>
      <c r="D60" s="13"/>
      <c r="E60" s="128"/>
      <c r="F60" s="16"/>
      <c r="G60" s="123"/>
    </row>
    <row r="61" spans="1:7" ht="27">
      <c r="A61" s="14">
        <v>1</v>
      </c>
      <c r="B61" s="20" t="s">
        <v>168</v>
      </c>
      <c r="C61" s="61" t="s">
        <v>167</v>
      </c>
      <c r="D61" s="13" t="s">
        <v>23</v>
      </c>
      <c r="E61" s="129">
        <f>0.2*5</f>
        <v>1</v>
      </c>
      <c r="F61" s="16"/>
      <c r="G61" s="123"/>
    </row>
    <row r="62" spans="1:7" ht="27">
      <c r="A62" s="14">
        <v>2</v>
      </c>
      <c r="B62" s="20" t="s">
        <v>155</v>
      </c>
      <c r="C62" s="61" t="s">
        <v>169</v>
      </c>
      <c r="D62" s="13" t="s">
        <v>23</v>
      </c>
      <c r="E62" s="131">
        <f>0.15*5</f>
        <v>0.75</v>
      </c>
      <c r="F62" s="16"/>
      <c r="G62" s="123"/>
    </row>
    <row r="63" spans="1:7" ht="13.5">
      <c r="A63" s="14">
        <v>3</v>
      </c>
      <c r="B63" s="20" t="s">
        <v>29</v>
      </c>
      <c r="C63" s="61" t="s">
        <v>202</v>
      </c>
      <c r="D63" s="13" t="s">
        <v>31</v>
      </c>
      <c r="E63" s="134">
        <f>0.15*0.15*5</f>
        <v>0.11249999999999999</v>
      </c>
      <c r="F63" s="16"/>
      <c r="G63" s="123"/>
    </row>
    <row r="64" spans="1:7" ht="40.5">
      <c r="A64" s="14">
        <v>4</v>
      </c>
      <c r="B64" s="20" t="s">
        <v>156</v>
      </c>
      <c r="C64" s="61" t="s">
        <v>203</v>
      </c>
      <c r="D64" s="13" t="s">
        <v>30</v>
      </c>
      <c r="E64" s="134">
        <f>5*1.5*12.73/1000</f>
        <v>0.095475</v>
      </c>
      <c r="F64" s="16"/>
      <c r="G64" s="123"/>
    </row>
    <row r="65" spans="1:7" ht="13.5">
      <c r="A65" s="14">
        <v>5</v>
      </c>
      <c r="B65" s="20" t="s">
        <v>29</v>
      </c>
      <c r="C65" s="61" t="s">
        <v>205</v>
      </c>
      <c r="D65" s="13" t="s">
        <v>32</v>
      </c>
      <c r="E65" s="129">
        <f>1.5*5</f>
        <v>7.5</v>
      </c>
      <c r="F65" s="16"/>
      <c r="G65" s="123"/>
    </row>
    <row r="66" spans="1:7" ht="40.5">
      <c r="A66" s="14">
        <v>6</v>
      </c>
      <c r="B66" s="20" t="s">
        <v>151</v>
      </c>
      <c r="C66" s="61" t="s">
        <v>259</v>
      </c>
      <c r="D66" s="13" t="s">
        <v>32</v>
      </c>
      <c r="E66" s="127">
        <v>25</v>
      </c>
      <c r="F66" s="16"/>
      <c r="G66" s="123"/>
    </row>
    <row r="67" spans="1:7" ht="27">
      <c r="A67" s="14">
        <v>7</v>
      </c>
      <c r="B67" s="20" t="s">
        <v>156</v>
      </c>
      <c r="C67" s="61" t="s">
        <v>204</v>
      </c>
      <c r="D67" s="13" t="s">
        <v>30</v>
      </c>
      <c r="E67" s="130">
        <f>E68*10.26/1000</f>
        <v>0.3078</v>
      </c>
      <c r="F67" s="16"/>
      <c r="G67" s="123"/>
    </row>
    <row r="68" spans="1:7" ht="13.5">
      <c r="A68" s="14">
        <v>8</v>
      </c>
      <c r="B68" s="20" t="s">
        <v>29</v>
      </c>
      <c r="C68" s="61" t="s">
        <v>170</v>
      </c>
      <c r="D68" s="13" t="s">
        <v>32</v>
      </c>
      <c r="E68" s="131">
        <f>(1.5+4.5)*5</f>
        <v>30</v>
      </c>
      <c r="F68" s="16"/>
      <c r="G68" s="123"/>
    </row>
    <row r="69" spans="1:7" ht="40.5">
      <c r="A69" s="14">
        <v>9</v>
      </c>
      <c r="B69" s="20" t="s">
        <v>151</v>
      </c>
      <c r="C69" s="61" t="s">
        <v>258</v>
      </c>
      <c r="D69" s="13" t="s">
        <v>32</v>
      </c>
      <c r="E69" s="129">
        <f>1.5*2*5</f>
        <v>15</v>
      </c>
      <c r="F69" s="16"/>
      <c r="G69" s="123"/>
    </row>
    <row r="70" spans="1:7" ht="40.5">
      <c r="A70" s="14">
        <v>10</v>
      </c>
      <c r="B70" s="20" t="s">
        <v>157</v>
      </c>
      <c r="C70" s="61" t="s">
        <v>206</v>
      </c>
      <c r="D70" s="13" t="s">
        <v>30</v>
      </c>
      <c r="E70" s="135">
        <f>E71*4.62/1000</f>
        <v>0.0693</v>
      </c>
      <c r="F70" s="16"/>
      <c r="G70" s="123"/>
    </row>
    <row r="71" spans="1:7" ht="13.5">
      <c r="A71" s="14">
        <v>11</v>
      </c>
      <c r="B71" s="20" t="s">
        <v>29</v>
      </c>
      <c r="C71" s="61" t="s">
        <v>257</v>
      </c>
      <c r="D71" s="13" t="s">
        <v>32</v>
      </c>
      <c r="E71" s="128">
        <f>1.5*10</f>
        <v>15</v>
      </c>
      <c r="F71" s="16"/>
      <c r="G71" s="123"/>
    </row>
    <row r="72" spans="1:7" ht="13.5">
      <c r="A72" s="14">
        <v>12</v>
      </c>
      <c r="B72" s="20" t="s">
        <v>90</v>
      </c>
      <c r="C72" s="61" t="s">
        <v>214</v>
      </c>
      <c r="D72" s="13" t="s">
        <v>33</v>
      </c>
      <c r="E72" s="127">
        <v>15</v>
      </c>
      <c r="F72" s="16"/>
      <c r="G72" s="123"/>
    </row>
    <row r="73" spans="1:7" ht="13.5">
      <c r="A73" s="14">
        <v>13</v>
      </c>
      <c r="B73" s="20" t="s">
        <v>90</v>
      </c>
      <c r="C73" s="61" t="s">
        <v>216</v>
      </c>
      <c r="D73" s="13" t="s">
        <v>33</v>
      </c>
      <c r="E73" s="127">
        <v>15</v>
      </c>
      <c r="F73" s="16"/>
      <c r="G73" s="123"/>
    </row>
    <row r="74" spans="1:7" ht="13.5">
      <c r="A74" s="14">
        <v>14</v>
      </c>
      <c r="B74" s="20" t="s">
        <v>90</v>
      </c>
      <c r="C74" s="61" t="s">
        <v>217</v>
      </c>
      <c r="D74" s="13" t="s">
        <v>33</v>
      </c>
      <c r="E74" s="127">
        <v>20</v>
      </c>
      <c r="F74" s="16"/>
      <c r="G74" s="123"/>
    </row>
    <row r="75" spans="1:7" ht="13.5">
      <c r="A75" s="14">
        <v>15</v>
      </c>
      <c r="B75" s="20" t="s">
        <v>90</v>
      </c>
      <c r="C75" s="61" t="s">
        <v>218</v>
      </c>
      <c r="D75" s="13" t="s">
        <v>33</v>
      </c>
      <c r="E75" s="127">
        <v>30</v>
      </c>
      <c r="F75" s="16"/>
      <c r="G75" s="123"/>
    </row>
    <row r="76" spans="1:7" ht="13.5">
      <c r="A76" s="13">
        <v>16</v>
      </c>
      <c r="B76" s="13" t="s">
        <v>68</v>
      </c>
      <c r="C76" s="23" t="s">
        <v>172</v>
      </c>
      <c r="D76" s="13" t="s">
        <v>33</v>
      </c>
      <c r="E76" s="129">
        <v>5</v>
      </c>
      <c r="F76" s="57"/>
      <c r="G76" s="123"/>
    </row>
    <row r="77" spans="1:7" ht="27">
      <c r="A77" s="13">
        <v>17</v>
      </c>
      <c r="B77" s="20" t="s">
        <v>91</v>
      </c>
      <c r="C77" s="61" t="s">
        <v>220</v>
      </c>
      <c r="D77" s="13" t="s">
        <v>33</v>
      </c>
      <c r="E77" s="129">
        <v>14</v>
      </c>
      <c r="F77" s="16"/>
      <c r="G77" s="123"/>
    </row>
    <row r="78" spans="1:7" ht="27">
      <c r="A78" s="13">
        <v>18</v>
      </c>
      <c r="B78" s="20" t="s">
        <v>92</v>
      </c>
      <c r="C78" s="61" t="s">
        <v>209</v>
      </c>
      <c r="D78" s="13" t="s">
        <v>33</v>
      </c>
      <c r="E78" s="129">
        <v>1</v>
      </c>
      <c r="F78" s="16"/>
      <c r="G78" s="123"/>
    </row>
    <row r="79" spans="1:7" ht="27">
      <c r="A79" s="13">
        <v>19</v>
      </c>
      <c r="B79" s="20" t="s">
        <v>92</v>
      </c>
      <c r="C79" s="61" t="s">
        <v>210</v>
      </c>
      <c r="D79" s="13" t="s">
        <v>33</v>
      </c>
      <c r="E79" s="129">
        <v>1</v>
      </c>
      <c r="F79" s="16"/>
      <c r="G79" s="123"/>
    </row>
    <row r="80" spans="1:7" ht="13.5">
      <c r="A80" s="13">
        <v>20</v>
      </c>
      <c r="B80" s="20" t="s">
        <v>92</v>
      </c>
      <c r="C80" s="61" t="s">
        <v>211</v>
      </c>
      <c r="D80" s="13" t="s">
        <v>33</v>
      </c>
      <c r="E80" s="129">
        <v>2</v>
      </c>
      <c r="F80" s="16"/>
      <c r="G80" s="123"/>
    </row>
    <row r="81" spans="1:7" ht="13.5">
      <c r="A81" s="14">
        <v>21</v>
      </c>
      <c r="B81" s="20" t="s">
        <v>29</v>
      </c>
      <c r="C81" s="61" t="s">
        <v>212</v>
      </c>
      <c r="D81" s="13" t="s">
        <v>67</v>
      </c>
      <c r="E81" s="127">
        <v>4</v>
      </c>
      <c r="F81" s="16"/>
      <c r="G81" s="123"/>
    </row>
    <row r="82" spans="1:7" ht="27">
      <c r="A82" s="11">
        <v>22</v>
      </c>
      <c r="B82" s="58" t="s">
        <v>158</v>
      </c>
      <c r="C82" s="61" t="s">
        <v>222</v>
      </c>
      <c r="D82" s="13" t="s">
        <v>33</v>
      </c>
      <c r="E82" s="127">
        <v>10</v>
      </c>
      <c r="F82" s="16"/>
      <c r="G82" s="123"/>
    </row>
    <row r="83" spans="1:7" ht="12.75" customHeight="1">
      <c r="A83" s="154">
        <v>23</v>
      </c>
      <c r="B83" s="161" t="s">
        <v>160</v>
      </c>
      <c r="C83" s="162" t="s">
        <v>161</v>
      </c>
      <c r="D83" s="159" t="s">
        <v>31</v>
      </c>
      <c r="E83" s="204">
        <f>E68*0.11*3.14+E71*0.06*3.14</f>
        <v>13.187999999999999</v>
      </c>
      <c r="F83" s="201"/>
      <c r="G83" s="189"/>
    </row>
    <row r="84" spans="1:7" ht="12.75" customHeight="1">
      <c r="A84" s="154"/>
      <c r="B84" s="161"/>
      <c r="C84" s="162"/>
      <c r="D84" s="159"/>
      <c r="E84" s="204"/>
      <c r="F84" s="203"/>
      <c r="G84" s="191"/>
    </row>
    <row r="85" spans="1:7" ht="14.25">
      <c r="A85" s="15"/>
      <c r="B85" s="105"/>
      <c r="C85" s="15" t="s">
        <v>44</v>
      </c>
      <c r="D85" s="15"/>
      <c r="E85" s="133"/>
      <c r="F85" s="15"/>
      <c r="G85" s="123"/>
    </row>
    <row r="86" spans="1:7" ht="14.25">
      <c r="A86" s="15"/>
      <c r="B86" s="105"/>
      <c r="C86" s="15" t="s">
        <v>145</v>
      </c>
      <c r="D86" s="15"/>
      <c r="E86" s="133"/>
      <c r="F86" s="15"/>
      <c r="G86" s="123"/>
    </row>
    <row r="87" spans="1:7" ht="14.25">
      <c r="A87" s="13"/>
      <c r="B87" s="13"/>
      <c r="C87" s="15" t="s">
        <v>273</v>
      </c>
      <c r="D87" s="13"/>
      <c r="E87" s="126"/>
      <c r="F87" s="13"/>
      <c r="G87" s="123"/>
    </row>
    <row r="88" spans="1:7" ht="14.25">
      <c r="A88" s="13"/>
      <c r="B88" s="13"/>
      <c r="C88" s="15" t="s">
        <v>44</v>
      </c>
      <c r="D88" s="13"/>
      <c r="E88" s="126"/>
      <c r="F88" s="13"/>
      <c r="G88" s="123"/>
    </row>
    <row r="89" ht="13.5">
      <c r="F89"/>
    </row>
  </sheetData>
  <sheetProtection/>
  <mergeCells count="74">
    <mergeCell ref="G83:G84"/>
    <mergeCell ref="A83:A84"/>
    <mergeCell ref="B83:B84"/>
    <mergeCell ref="C83:C84"/>
    <mergeCell ref="D83:D84"/>
    <mergeCell ref="E83:E84"/>
    <mergeCell ref="F83:F84"/>
    <mergeCell ref="A42:A43"/>
    <mergeCell ref="B42:B43"/>
    <mergeCell ref="C42:C43"/>
    <mergeCell ref="D42:D43"/>
    <mergeCell ref="E42:E43"/>
    <mergeCell ref="F42:F43"/>
    <mergeCell ref="A34:A36"/>
    <mergeCell ref="B34:B36"/>
    <mergeCell ref="C34:C36"/>
    <mergeCell ref="D34:D36"/>
    <mergeCell ref="E34:E36"/>
    <mergeCell ref="F34:F36"/>
    <mergeCell ref="A31:A33"/>
    <mergeCell ref="B31:B33"/>
    <mergeCell ref="C31:C33"/>
    <mergeCell ref="D31:D33"/>
    <mergeCell ref="E31:E33"/>
    <mergeCell ref="F31:F33"/>
    <mergeCell ref="A27:A29"/>
    <mergeCell ref="B27:B29"/>
    <mergeCell ref="C27:C29"/>
    <mergeCell ref="D27:D29"/>
    <mergeCell ref="E27:E29"/>
    <mergeCell ref="F27:F29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19:A22"/>
    <mergeCell ref="B19:B22"/>
    <mergeCell ref="C19:C22"/>
    <mergeCell ref="D19:D22"/>
    <mergeCell ref="E19:E22"/>
    <mergeCell ref="F19:F22"/>
    <mergeCell ref="A14:A18"/>
    <mergeCell ref="B14:B18"/>
    <mergeCell ref="C14:C18"/>
    <mergeCell ref="D14:D18"/>
    <mergeCell ref="E14:E18"/>
    <mergeCell ref="F14:F18"/>
    <mergeCell ref="G5:G7"/>
    <mergeCell ref="F4:G4"/>
    <mergeCell ref="A4:E4"/>
    <mergeCell ref="A5:A7"/>
    <mergeCell ref="B5:B7"/>
    <mergeCell ref="C5:C7"/>
    <mergeCell ref="D5:D7"/>
    <mergeCell ref="E5:E7"/>
    <mergeCell ref="F5:F7"/>
    <mergeCell ref="G34:G36"/>
    <mergeCell ref="G42:G43"/>
    <mergeCell ref="A2:G3"/>
    <mergeCell ref="A1:G1"/>
    <mergeCell ref="G14:G18"/>
    <mergeCell ref="G19:G22"/>
    <mergeCell ref="G23:G24"/>
    <mergeCell ref="G25:G26"/>
    <mergeCell ref="G27:G29"/>
    <mergeCell ref="G31:G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NewCalisto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NeoComp</dc:creator>
  <cp:keywords/>
  <dc:description/>
  <cp:lastModifiedBy>user16</cp:lastModifiedBy>
  <cp:lastPrinted>2022-08-05T06:44:21Z</cp:lastPrinted>
  <dcterms:created xsi:type="dcterms:W3CDTF">2011-09-30T05:57:27Z</dcterms:created>
  <dcterms:modified xsi:type="dcterms:W3CDTF">2022-08-05T06:44:51Z</dcterms:modified>
  <cp:category/>
  <cp:version/>
  <cp:contentType/>
  <cp:contentStatus/>
</cp:coreProperties>
</file>